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1018435030\Desktop\"/>
    </mc:Choice>
  </mc:AlternateContent>
  <xr:revisionPtr revIDLastSave="0" documentId="13_ncr:1_{43B41DC4-1382-4399-A848-E12BC587363C}" xr6:coauthVersionLast="47" xr6:coauthVersionMax="47" xr10:uidLastSave="{00000000-0000-0000-0000-000000000000}"/>
  <bookViews>
    <workbookView xWindow="-120" yWindow="-120" windowWidth="29040" windowHeight="15840" tabRatio="614" firstSheet="4" activeTab="4" xr2:uid="{00000000-000D-0000-FFFF-FFFF00000000}"/>
  </bookViews>
  <sheets>
    <sheet name="INDICE" sheetId="18510" state="hidden" r:id="rId1"/>
    <sheet name="1" sheetId="5" state="hidden" r:id="rId2"/>
    <sheet name="2" sheetId="18492" state="hidden" r:id="rId3"/>
    <sheet name="3" sheetId="18501" state="hidden" r:id="rId4"/>
    <sheet name="INDICE EE.FF." sheetId="18513" r:id="rId5"/>
    <sheet name="4" sheetId="1" r:id="rId6"/>
    <sheet name="5" sheetId="18502" r:id="rId7"/>
    <sheet name="6" sheetId="18511" state="hidden" r:id="rId8"/>
    <sheet name="7" sheetId="18512" state="hidden" r:id="rId9"/>
    <sheet name="8" sheetId="3" state="hidden" r:id="rId10"/>
    <sheet name="9" sheetId="18505" state="hidden" r:id="rId11"/>
  </sheets>
  <definedNames>
    <definedName name="_xlnm._FilterDatabase" localSheetId="10" hidden="1">'9'!$A$5:$CC$26</definedName>
    <definedName name="_xlnm.Print_Area" localSheetId="1">'1'!#REF!</definedName>
    <definedName name="_xlnm.Print_Area" localSheetId="2">'2'!$A$1:$G$37</definedName>
    <definedName name="_xlnm.Print_Area" localSheetId="3">'3'!$A$1:$G$26</definedName>
    <definedName name="_xlnm.Print_Area" localSheetId="5">'4'!$A$1:$U$40</definedName>
    <definedName name="_xlnm.Print_Area" localSheetId="6">'5'!$A$1:$D$25</definedName>
    <definedName name="_xlnm.Print_Area" localSheetId="9">'8'!$B$6:$BG$33</definedName>
    <definedName name="_xlnm.Print_Area" localSheetId="10">'9'!#REF!</definedName>
    <definedName name="_xlnm.Print_Titles" localSheetId="1">'1'!$1:$6</definedName>
    <definedName name="_xlnm.Print_Titles" localSheetId="2">'2'!$A:$A,'2'!$1:$5</definedName>
    <definedName name="_xlnm.Print_Titles" localSheetId="3">'3'!$A:$A,'3'!$1:$5</definedName>
    <definedName name="_xlnm.Print_Titles" localSheetId="5">'4'!$A:$A,'4'!$1:$2</definedName>
    <definedName name="_xlnm.Print_Titles" localSheetId="6">'5'!$1:$2</definedName>
    <definedName name="_xlnm.Print_Titles" localSheetId="9">'8'!$A:$A,'8'!$1:$5</definedName>
    <definedName name="_xlnm.Print_Titles" localSheetId="10">'9'!$A:$A,'9'!$1:$4</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 l="1"/>
  <c r="M9" i="1"/>
  <c r="L13" i="1"/>
  <c r="M13" i="1"/>
  <c r="L25" i="1"/>
  <c r="M25" i="1"/>
  <c r="L30" i="1"/>
  <c r="M30" i="1"/>
  <c r="L35" i="1"/>
  <c r="M35" i="1"/>
  <c r="L26" i="1" l="1"/>
  <c r="L36" i="1" s="1"/>
  <c r="M26" i="1"/>
  <c r="M36" i="1" s="1"/>
  <c r="S32" i="1"/>
  <c r="S31" i="1"/>
  <c r="S30" i="1"/>
  <c r="S25" i="1"/>
  <c r="S13" i="1"/>
  <c r="S9" i="1"/>
  <c r="Q32" i="1"/>
  <c r="C32" i="1" s="1"/>
  <c r="C33" i="18492" s="1"/>
  <c r="Q29" i="1"/>
  <c r="Q28" i="1"/>
  <c r="C28" i="1" s="1"/>
  <c r="C29" i="18492" s="1"/>
  <c r="Q27" i="1"/>
  <c r="P32" i="1"/>
  <c r="P29" i="1"/>
  <c r="B29" i="1" s="1"/>
  <c r="B30" i="18492" s="1"/>
  <c r="Q20" i="1"/>
  <c r="Q15" i="1"/>
  <c r="Q21" i="1"/>
  <c r="Q11" i="1"/>
  <c r="Q13" i="1" s="1"/>
  <c r="Q8" i="1"/>
  <c r="Q7" i="1"/>
  <c r="C7" i="1" s="1"/>
  <c r="P35" i="1"/>
  <c r="P22" i="18502" s="1"/>
  <c r="P28" i="1"/>
  <c r="B28" i="1" s="1"/>
  <c r="B29" i="18492" s="1"/>
  <c r="P26" i="1"/>
  <c r="P25" i="1"/>
  <c r="P21" i="1"/>
  <c r="B21" i="1" s="1"/>
  <c r="B22" i="18492" s="1"/>
  <c r="P20" i="1"/>
  <c r="P15" i="1"/>
  <c r="B15" i="1" s="1"/>
  <c r="B16" i="18492" s="1"/>
  <c r="P13" i="1"/>
  <c r="P11" i="1"/>
  <c r="P9" i="1"/>
  <c r="P8" i="1"/>
  <c r="P7" i="1"/>
  <c r="P6" i="18502" s="1"/>
  <c r="B8" i="1"/>
  <c r="B9" i="18492" s="1"/>
  <c r="C8" i="1"/>
  <c r="T30" i="1"/>
  <c r="T21" i="18502" s="1"/>
  <c r="K34" i="1"/>
  <c r="K32" i="1"/>
  <c r="I32" i="1"/>
  <c r="I31" i="1"/>
  <c r="F30" i="1"/>
  <c r="F33" i="1" s="1"/>
  <c r="F35" i="1" s="1"/>
  <c r="G32" i="1"/>
  <c r="D8" i="5"/>
  <c r="D9" i="5" s="1"/>
  <c r="C35" i="18511"/>
  <c r="B29" i="18511"/>
  <c r="C28" i="18511"/>
  <c r="B28" i="18511"/>
  <c r="C25" i="18511"/>
  <c r="B25" i="18511"/>
  <c r="C24" i="18511"/>
  <c r="E24" i="18492" s="1"/>
  <c r="B24" i="18511"/>
  <c r="C23" i="18511"/>
  <c r="B23" i="18511"/>
  <c r="C22" i="18511"/>
  <c r="E22" i="18492"/>
  <c r="B22" i="18511"/>
  <c r="D22" i="18492" s="1"/>
  <c r="C20" i="18511"/>
  <c r="E20" i="18492" s="1"/>
  <c r="B20" i="18511"/>
  <c r="C19" i="18511"/>
  <c r="B19" i="18511"/>
  <c r="C18" i="18511"/>
  <c r="B18" i="18511"/>
  <c r="D18" i="18492"/>
  <c r="C17" i="18511"/>
  <c r="B17" i="18511"/>
  <c r="C16" i="18511"/>
  <c r="B16" i="18511"/>
  <c r="C13" i="18511"/>
  <c r="B13" i="18511"/>
  <c r="C12" i="18511"/>
  <c r="C14" i="18511" s="1"/>
  <c r="B12" i="18511"/>
  <c r="B14" i="18511" s="1"/>
  <c r="B9" i="18512" s="1"/>
  <c r="C10" i="18511"/>
  <c r="C15" i="18512" s="1"/>
  <c r="C9" i="18511"/>
  <c r="C8" i="18511"/>
  <c r="C25" i="18512" s="1"/>
  <c r="B8" i="18511"/>
  <c r="C25" i="3"/>
  <c r="B25" i="3"/>
  <c r="C24" i="3"/>
  <c r="B24" i="3"/>
  <c r="C23" i="3"/>
  <c r="G23" i="18492" s="1"/>
  <c r="B23" i="3"/>
  <c r="F23" i="18492"/>
  <c r="C22" i="3"/>
  <c r="G22" i="18492" s="1"/>
  <c r="B22" i="3"/>
  <c r="F22" i="18492"/>
  <c r="C21" i="3"/>
  <c r="G21" i="18492" s="1"/>
  <c r="B21" i="3"/>
  <c r="C20" i="3"/>
  <c r="B20" i="3"/>
  <c r="C19" i="3"/>
  <c r="G19" i="18492" s="1"/>
  <c r="B19" i="3"/>
  <c r="F19" i="18492"/>
  <c r="C18" i="3"/>
  <c r="B18" i="3"/>
  <c r="F18" i="18492"/>
  <c r="C17" i="3"/>
  <c r="B17" i="3"/>
  <c r="C16" i="3"/>
  <c r="B16" i="3"/>
  <c r="B26" i="3" s="1"/>
  <c r="C13" i="3"/>
  <c r="B13" i="3"/>
  <c r="C12" i="3"/>
  <c r="B12" i="3"/>
  <c r="F12" i="18492" s="1"/>
  <c r="B9" i="3"/>
  <c r="C8" i="3"/>
  <c r="B8" i="3"/>
  <c r="G35" i="3"/>
  <c r="G33" i="3"/>
  <c r="F33" i="3"/>
  <c r="G29" i="3"/>
  <c r="F29" i="3"/>
  <c r="G10" i="3"/>
  <c r="F10" i="3"/>
  <c r="W36" i="3"/>
  <c r="V36" i="3"/>
  <c r="V23" i="18505" s="1"/>
  <c r="Q36" i="3"/>
  <c r="Q23" i="18505"/>
  <c r="P36" i="3"/>
  <c r="BE36" i="3"/>
  <c r="BD36" i="3"/>
  <c r="AW36" i="3"/>
  <c r="AW23" i="18505"/>
  <c r="AV36" i="3"/>
  <c r="AV23" i="18505"/>
  <c r="AE36" i="3"/>
  <c r="AE23" i="18505"/>
  <c r="AD36" i="3"/>
  <c r="O33" i="18511"/>
  <c r="O32" i="18511"/>
  <c r="N32" i="18511"/>
  <c r="N33" i="18511"/>
  <c r="K33" i="18511"/>
  <c r="K32" i="18511"/>
  <c r="K29" i="18511"/>
  <c r="K30" i="18511"/>
  <c r="J33" i="18511"/>
  <c r="J32" i="18511"/>
  <c r="J31" i="18511"/>
  <c r="J34" i="18511" s="1"/>
  <c r="J36" i="18511" s="1"/>
  <c r="J23" i="18512" s="1"/>
  <c r="J30" i="18511"/>
  <c r="I33" i="18511"/>
  <c r="I32" i="18511"/>
  <c r="H32" i="18511"/>
  <c r="H33" i="18511"/>
  <c r="G33" i="18511"/>
  <c r="F33" i="18511"/>
  <c r="E33" i="18511"/>
  <c r="E32" i="18511"/>
  <c r="D32" i="18511"/>
  <c r="D33" i="18511"/>
  <c r="BE31" i="3"/>
  <c r="BD31" i="3"/>
  <c r="BD22" i="18505"/>
  <c r="AW31" i="3"/>
  <c r="AW22" i="18505" s="1"/>
  <c r="AV31" i="3"/>
  <c r="AV22" i="18505" s="1"/>
  <c r="AE31" i="3"/>
  <c r="AE22" i="18505" s="1"/>
  <c r="AD31" i="3"/>
  <c r="W31" i="3"/>
  <c r="W22" i="18505" s="1"/>
  <c r="V31" i="3"/>
  <c r="V22" i="18505" s="1"/>
  <c r="Q31" i="3"/>
  <c r="Q22" i="18505" s="1"/>
  <c r="P31" i="3"/>
  <c r="P22" i="18505" s="1"/>
  <c r="BE26" i="3"/>
  <c r="BE11" i="18505" s="1"/>
  <c r="BD26" i="3"/>
  <c r="AW26" i="3"/>
  <c r="AV26" i="3"/>
  <c r="W26" i="3"/>
  <c r="V26" i="3"/>
  <c r="Q26" i="3"/>
  <c r="P26" i="3"/>
  <c r="P20" i="18505"/>
  <c r="G26" i="3"/>
  <c r="F26" i="3"/>
  <c r="F11" i="18505" s="1"/>
  <c r="BE14" i="3"/>
  <c r="BE27" i="3" s="1"/>
  <c r="BD14" i="3"/>
  <c r="BD27" i="3"/>
  <c r="AW14" i="3"/>
  <c r="AW27" i="3"/>
  <c r="AV14" i="3"/>
  <c r="W14" i="3"/>
  <c r="W10" i="18505" s="1"/>
  <c r="W27" i="3"/>
  <c r="V14" i="3"/>
  <c r="V27" i="3" s="1"/>
  <c r="Q14" i="3"/>
  <c r="Q27" i="3" s="1"/>
  <c r="Q18" i="18505"/>
  <c r="P14" i="3"/>
  <c r="G14" i="3"/>
  <c r="G9" i="18505"/>
  <c r="F14" i="3"/>
  <c r="BE10" i="3"/>
  <c r="BE37" i="3" s="1"/>
  <c r="BD10" i="3"/>
  <c r="AW10" i="3"/>
  <c r="AV10" i="3"/>
  <c r="W10" i="3"/>
  <c r="V10" i="3"/>
  <c r="V37" i="3" s="1"/>
  <c r="Q10" i="3"/>
  <c r="Q15" i="18505"/>
  <c r="Q20" i="18505"/>
  <c r="P10" i="3"/>
  <c r="P15" i="18505"/>
  <c r="N17" i="18502"/>
  <c r="D16" i="18502"/>
  <c r="E16" i="18502"/>
  <c r="F16" i="18502"/>
  <c r="G16" i="18502"/>
  <c r="H16" i="18502"/>
  <c r="I16" i="18502"/>
  <c r="J16" i="18502"/>
  <c r="K16" i="18502"/>
  <c r="L16" i="18502"/>
  <c r="M16" i="18502"/>
  <c r="N16" i="18502"/>
  <c r="O16" i="18502"/>
  <c r="P16" i="18502"/>
  <c r="Q16" i="18502"/>
  <c r="R16" i="18502"/>
  <c r="S16" i="18502"/>
  <c r="T16" i="18502"/>
  <c r="U16" i="18502"/>
  <c r="P13" i="18502"/>
  <c r="T9" i="18502"/>
  <c r="D6" i="18502"/>
  <c r="E6" i="18502"/>
  <c r="F6" i="18502"/>
  <c r="G6" i="18502"/>
  <c r="H6" i="18502"/>
  <c r="I6" i="18502"/>
  <c r="J6" i="18502"/>
  <c r="K6" i="18502"/>
  <c r="L6" i="18502"/>
  <c r="M6" i="18502"/>
  <c r="N6" i="18502"/>
  <c r="O6" i="18502"/>
  <c r="R6" i="18502"/>
  <c r="S6" i="18502"/>
  <c r="T6" i="18502"/>
  <c r="U6" i="18502"/>
  <c r="P23" i="18505"/>
  <c r="W23" i="18505"/>
  <c r="AD23" i="18505"/>
  <c r="BD23" i="18505"/>
  <c r="BE23" i="18505"/>
  <c r="BX23" i="18505"/>
  <c r="BZ23" i="18505"/>
  <c r="AD22" i="18505"/>
  <c r="BE22" i="18505"/>
  <c r="BX22" i="18505"/>
  <c r="BZ22" i="18505"/>
  <c r="W20" i="18505"/>
  <c r="W18" i="18505"/>
  <c r="D17" i="18505"/>
  <c r="E17" i="18505"/>
  <c r="F17" i="18505"/>
  <c r="G17" i="18505"/>
  <c r="H17" i="18505"/>
  <c r="I17" i="18505"/>
  <c r="J17" i="18505"/>
  <c r="K17" i="18505"/>
  <c r="L17" i="18505"/>
  <c r="M17" i="18505"/>
  <c r="N17" i="18505"/>
  <c r="O17" i="18505"/>
  <c r="P17" i="18505"/>
  <c r="Q17" i="18505"/>
  <c r="R17" i="18505"/>
  <c r="S17" i="18505"/>
  <c r="T17" i="18505"/>
  <c r="U17" i="18505"/>
  <c r="V17" i="18505"/>
  <c r="W17" i="18505"/>
  <c r="X17" i="18505"/>
  <c r="Y17" i="18505"/>
  <c r="Z17" i="18505"/>
  <c r="AA17" i="18505"/>
  <c r="AB17" i="18505"/>
  <c r="AC17" i="18505"/>
  <c r="AD17" i="18505"/>
  <c r="AF17" i="18505"/>
  <c r="AG17" i="18505"/>
  <c r="AH17" i="18505"/>
  <c r="AI17" i="18505"/>
  <c r="AJ17" i="18505"/>
  <c r="AK17" i="18505"/>
  <c r="AL17" i="18505"/>
  <c r="AM17" i="18505"/>
  <c r="AN17" i="18505"/>
  <c r="AO17" i="18505"/>
  <c r="AP17" i="18505"/>
  <c r="AQ17" i="18505"/>
  <c r="AR17" i="18505"/>
  <c r="AS17" i="18505"/>
  <c r="AT17" i="18505"/>
  <c r="AU17" i="18505"/>
  <c r="AV17" i="18505"/>
  <c r="AW17" i="18505"/>
  <c r="AX17" i="18505"/>
  <c r="AY17" i="18505"/>
  <c r="AZ17" i="18505"/>
  <c r="BA17" i="18505"/>
  <c r="BB17" i="18505"/>
  <c r="BC17" i="18505"/>
  <c r="BD17" i="18505"/>
  <c r="BE17" i="18505"/>
  <c r="BF17" i="18505"/>
  <c r="BG17" i="18505"/>
  <c r="BH17" i="18505"/>
  <c r="BI17" i="18505"/>
  <c r="BJ17" i="18505"/>
  <c r="BK17" i="18505"/>
  <c r="BL17" i="18505"/>
  <c r="BM17" i="18505"/>
  <c r="BN17" i="18505"/>
  <c r="BO17" i="18505"/>
  <c r="BP17" i="18505"/>
  <c r="BQ17" i="18505"/>
  <c r="BR17" i="18505"/>
  <c r="BS17" i="18505"/>
  <c r="BT17" i="18505"/>
  <c r="BU17" i="18505"/>
  <c r="BV17" i="18505"/>
  <c r="BW17" i="18505"/>
  <c r="BX17" i="18505"/>
  <c r="BY17" i="18505"/>
  <c r="BZ17" i="18505"/>
  <c r="CA17" i="18505"/>
  <c r="CB17" i="18505"/>
  <c r="CC17" i="18505"/>
  <c r="W15" i="18505"/>
  <c r="AV15" i="18505"/>
  <c r="AZ15" i="18505"/>
  <c r="F15" i="18505"/>
  <c r="V14" i="18505"/>
  <c r="BE14" i="18505"/>
  <c r="Q12" i="18505"/>
  <c r="BZ11" i="18505"/>
  <c r="W11" i="18505"/>
  <c r="V11" i="18505"/>
  <c r="Q11" i="18505"/>
  <c r="P11" i="18505"/>
  <c r="L11" i="18505"/>
  <c r="V10" i="18505"/>
  <c r="BX9" i="18505"/>
  <c r="V9" i="18505"/>
  <c r="Q9" i="18505"/>
  <c r="CC7" i="18505"/>
  <c r="CB7" i="18505"/>
  <c r="CA7" i="18505"/>
  <c r="BZ7" i="18505"/>
  <c r="BY7" i="18505"/>
  <c r="BX7" i="18505"/>
  <c r="BW7" i="18505"/>
  <c r="BV7" i="18505"/>
  <c r="BU7" i="18505"/>
  <c r="BT7" i="18505"/>
  <c r="BS7" i="18505"/>
  <c r="BR7" i="18505"/>
  <c r="BQ7" i="18505"/>
  <c r="BP7" i="18505"/>
  <c r="BO7" i="18505"/>
  <c r="BN7" i="18505"/>
  <c r="BM7" i="18505"/>
  <c r="BL7" i="18505"/>
  <c r="BK7" i="18505"/>
  <c r="BJ7" i="18505"/>
  <c r="BI7" i="18505"/>
  <c r="BH7" i="18505"/>
  <c r="BG7" i="18505"/>
  <c r="BF7" i="18505"/>
  <c r="BE7" i="18505"/>
  <c r="BD7" i="18505"/>
  <c r="BC7" i="18505"/>
  <c r="BB7" i="18505"/>
  <c r="BA7" i="18505"/>
  <c r="AZ7" i="18505"/>
  <c r="AY7" i="18505"/>
  <c r="AX7" i="18505"/>
  <c r="AW7" i="18505"/>
  <c r="AV7" i="18505"/>
  <c r="AU7" i="18505"/>
  <c r="AT7" i="18505"/>
  <c r="AS7" i="18505"/>
  <c r="AR7" i="18505"/>
  <c r="AQ7" i="18505"/>
  <c r="AP7" i="18505"/>
  <c r="AO7" i="18505"/>
  <c r="AN7" i="18505"/>
  <c r="AM7" i="18505"/>
  <c r="AL7" i="18505"/>
  <c r="AK7" i="18505"/>
  <c r="AJ7" i="18505"/>
  <c r="AI7" i="18505"/>
  <c r="AH7" i="18505"/>
  <c r="AG7" i="18505"/>
  <c r="AF7" i="18505"/>
  <c r="AE7" i="18505"/>
  <c r="AD7" i="18505"/>
  <c r="AC7" i="18505"/>
  <c r="AB7" i="18505"/>
  <c r="AA7" i="18505"/>
  <c r="Z7" i="18505"/>
  <c r="Y7" i="18505"/>
  <c r="X7" i="18505"/>
  <c r="W7" i="18505"/>
  <c r="V7" i="18505"/>
  <c r="U7" i="18505"/>
  <c r="T7" i="18505"/>
  <c r="S7" i="18505"/>
  <c r="R7" i="18505"/>
  <c r="Q7" i="18505"/>
  <c r="P7" i="18505"/>
  <c r="O7" i="18505"/>
  <c r="N7" i="18505"/>
  <c r="M7" i="18505"/>
  <c r="L7" i="18505"/>
  <c r="K7" i="18505"/>
  <c r="I7" i="18505"/>
  <c r="H7" i="18505"/>
  <c r="G7" i="18505"/>
  <c r="F7" i="18505"/>
  <c r="E7" i="18505"/>
  <c r="D7" i="18505"/>
  <c r="J7" i="18505"/>
  <c r="BE9" i="18505"/>
  <c r="BE10" i="18505"/>
  <c r="BD14" i="18505"/>
  <c r="BD12" i="18505"/>
  <c r="AW10" i="18505"/>
  <c r="AV9" i="18505"/>
  <c r="W14" i="18505"/>
  <c r="V12" i="18505"/>
  <c r="Q10" i="18505"/>
  <c r="BE15" i="18505"/>
  <c r="BE18" i="18505"/>
  <c r="BD15" i="18505"/>
  <c r="AV18" i="18505"/>
  <c r="AV14" i="18505"/>
  <c r="AV12" i="18505"/>
  <c r="V20" i="18505"/>
  <c r="V15" i="18505"/>
  <c r="V18" i="18505"/>
  <c r="Q14" i="18505"/>
  <c r="BW30" i="3"/>
  <c r="BW33" i="3"/>
  <c r="BW28" i="3"/>
  <c r="BW31" i="3" s="1"/>
  <c r="BV33" i="3"/>
  <c r="BV34" i="3"/>
  <c r="BV30" i="3"/>
  <c r="BV31" i="3" s="1"/>
  <c r="BV22" i="18505" s="1"/>
  <c r="BV28" i="3"/>
  <c r="BW10" i="3"/>
  <c r="BW18" i="18505" s="1"/>
  <c r="BV10" i="3"/>
  <c r="E8" i="5"/>
  <c r="B9" i="5"/>
  <c r="E9" i="5"/>
  <c r="E7" i="5"/>
  <c r="E6" i="5"/>
  <c r="F11" i="18492"/>
  <c r="G11" i="18492"/>
  <c r="F15" i="18492"/>
  <c r="G15" i="18492"/>
  <c r="F25" i="18492"/>
  <c r="E9" i="18492"/>
  <c r="D11" i="18492"/>
  <c r="E11" i="18492"/>
  <c r="D12" i="18492"/>
  <c r="E12" i="18492"/>
  <c r="D13" i="18492"/>
  <c r="D14" i="18492"/>
  <c r="E13" i="18492"/>
  <c r="D15" i="18492"/>
  <c r="E15" i="18492"/>
  <c r="E16" i="18492"/>
  <c r="D17" i="18492"/>
  <c r="E17" i="18492"/>
  <c r="D19" i="18492"/>
  <c r="E19" i="18492"/>
  <c r="D20" i="18492"/>
  <c r="D23" i="18492"/>
  <c r="E23" i="18492"/>
  <c r="D24" i="18492"/>
  <c r="D25" i="18492"/>
  <c r="E25" i="18492"/>
  <c r="E8" i="18492"/>
  <c r="D8" i="18492"/>
  <c r="D7" i="18501" s="1"/>
  <c r="BZ10" i="3"/>
  <c r="BZ26" i="3"/>
  <c r="BZ14" i="3"/>
  <c r="BZ10" i="18505" s="1"/>
  <c r="BX26" i="3"/>
  <c r="BX11" i="18505" s="1"/>
  <c r="BX10" i="3"/>
  <c r="AZ32" i="3"/>
  <c r="BA32" i="3"/>
  <c r="BA30" i="3"/>
  <c r="BA31" i="3"/>
  <c r="AZ30" i="3"/>
  <c r="AZ31" i="3"/>
  <c r="AZ10" i="3"/>
  <c r="AZ14" i="3"/>
  <c r="AZ12" i="18505" s="1"/>
  <c r="AZ26" i="3"/>
  <c r="AZ20" i="18505"/>
  <c r="AD26" i="3"/>
  <c r="B16" i="1"/>
  <c r="B17" i="18492" s="1"/>
  <c r="B17" i="1"/>
  <c r="B18" i="18492" s="1"/>
  <c r="B18" i="1"/>
  <c r="B19" i="1"/>
  <c r="B20" i="18492" s="1"/>
  <c r="B20" i="1"/>
  <c r="B21" i="18492" s="1"/>
  <c r="B22" i="1"/>
  <c r="B23" i="18492" s="1"/>
  <c r="B23" i="1"/>
  <c r="B24" i="18492" s="1"/>
  <c r="B24" i="1"/>
  <c r="B25" i="18492" s="1"/>
  <c r="G25" i="18492"/>
  <c r="G24" i="18492"/>
  <c r="F21" i="18492"/>
  <c r="F23" i="18501" s="1"/>
  <c r="G20" i="18492"/>
  <c r="F20" i="18492"/>
  <c r="G17" i="18492"/>
  <c r="F17" i="18492"/>
  <c r="G16" i="18492"/>
  <c r="F13" i="18492"/>
  <c r="G13" i="18492"/>
  <c r="F8" i="18492"/>
  <c r="D25" i="18505"/>
  <c r="E25" i="18505"/>
  <c r="F25" i="18505"/>
  <c r="G25" i="18505"/>
  <c r="H25" i="18505"/>
  <c r="I25" i="18505"/>
  <c r="J25" i="18505"/>
  <c r="K25" i="18505"/>
  <c r="L25" i="18505"/>
  <c r="M25" i="18505"/>
  <c r="N25" i="18505"/>
  <c r="O25" i="18505"/>
  <c r="P25" i="18505"/>
  <c r="Q25" i="18505"/>
  <c r="R25" i="18505"/>
  <c r="S25" i="18505"/>
  <c r="T25" i="18505"/>
  <c r="U25" i="18505"/>
  <c r="V25" i="18505"/>
  <c r="W25" i="18505"/>
  <c r="X25" i="18505"/>
  <c r="Y25" i="18505"/>
  <c r="Z25" i="18505"/>
  <c r="AA25" i="18505"/>
  <c r="AB25" i="18505"/>
  <c r="AC25" i="18505"/>
  <c r="AD25" i="18505"/>
  <c r="AE25" i="18505"/>
  <c r="AF25" i="18505"/>
  <c r="AG25" i="18505"/>
  <c r="AH25" i="18505"/>
  <c r="AI25" i="18505"/>
  <c r="AJ25" i="18505"/>
  <c r="AK25" i="18505"/>
  <c r="AL25" i="18505"/>
  <c r="AM25" i="18505"/>
  <c r="AN25" i="18505"/>
  <c r="AO25" i="18505"/>
  <c r="AP25" i="18505"/>
  <c r="AQ25" i="18505"/>
  <c r="AR25" i="18505"/>
  <c r="AS25" i="18505"/>
  <c r="AT25" i="18505"/>
  <c r="AU25" i="18505"/>
  <c r="AV25" i="18505"/>
  <c r="AW25" i="18505"/>
  <c r="AX25" i="18505"/>
  <c r="AY25" i="18505"/>
  <c r="AZ25" i="18505"/>
  <c r="BA25" i="18505"/>
  <c r="BB25" i="18505"/>
  <c r="BC25" i="18505"/>
  <c r="BD25" i="18505"/>
  <c r="BE25" i="18505"/>
  <c r="BF25" i="18505"/>
  <c r="BG25" i="18505"/>
  <c r="BH25" i="18505"/>
  <c r="BI25" i="18505"/>
  <c r="BJ25" i="18505"/>
  <c r="BK25" i="18505"/>
  <c r="BL25" i="18505"/>
  <c r="BM25" i="18505"/>
  <c r="BN25" i="18505"/>
  <c r="BO25" i="18505"/>
  <c r="BQ25" i="18505"/>
  <c r="BR25" i="18505"/>
  <c r="BS25" i="18505"/>
  <c r="BT25" i="18505"/>
  <c r="BU25" i="18505"/>
  <c r="BV25" i="18505"/>
  <c r="BW25" i="18505"/>
  <c r="BX25" i="18505"/>
  <c r="BY25" i="18505"/>
  <c r="BZ25" i="18505"/>
  <c r="CA25" i="18505"/>
  <c r="CB25" i="18505"/>
  <c r="CC25" i="18505"/>
  <c r="D25" i="18512"/>
  <c r="E25" i="18512"/>
  <c r="F25" i="18512"/>
  <c r="G25" i="18512"/>
  <c r="H25" i="18512"/>
  <c r="I25" i="18512"/>
  <c r="J25" i="18512"/>
  <c r="K25" i="18512"/>
  <c r="L25" i="18512"/>
  <c r="M25" i="18512"/>
  <c r="N25" i="18512"/>
  <c r="O25" i="18512"/>
  <c r="B25" i="18512"/>
  <c r="D23" i="18512"/>
  <c r="E23" i="18512"/>
  <c r="F23" i="18512"/>
  <c r="G23" i="18512"/>
  <c r="H23" i="18512"/>
  <c r="I23" i="18512"/>
  <c r="K23" i="18512"/>
  <c r="N23" i="18512"/>
  <c r="O23" i="18512"/>
  <c r="C17" i="18512"/>
  <c r="E17" i="18512"/>
  <c r="F17" i="18512"/>
  <c r="G17" i="18512"/>
  <c r="H17" i="18512"/>
  <c r="I17" i="18512"/>
  <c r="J17" i="18512"/>
  <c r="K17" i="18512"/>
  <c r="L17" i="18512"/>
  <c r="M17" i="18512"/>
  <c r="N17" i="18512"/>
  <c r="O17" i="18512"/>
  <c r="D15" i="18512"/>
  <c r="G12" i="18512"/>
  <c r="C9" i="18512"/>
  <c r="C7" i="18512"/>
  <c r="D7" i="18512"/>
  <c r="E7" i="18512"/>
  <c r="F7" i="18512"/>
  <c r="G7" i="18512"/>
  <c r="H7" i="18512"/>
  <c r="I7" i="18512"/>
  <c r="J7" i="18512"/>
  <c r="K7" i="18512"/>
  <c r="L7" i="18512"/>
  <c r="M7" i="18512"/>
  <c r="N7" i="18512"/>
  <c r="O7" i="18512"/>
  <c r="D24" i="18502"/>
  <c r="E24" i="18502"/>
  <c r="F24" i="18502"/>
  <c r="G24" i="18502"/>
  <c r="H24" i="18502"/>
  <c r="I24" i="18502"/>
  <c r="J24" i="18502"/>
  <c r="K24" i="18502"/>
  <c r="L24" i="18502"/>
  <c r="M24" i="18502"/>
  <c r="N24" i="18502"/>
  <c r="O24" i="18502"/>
  <c r="P24" i="18502"/>
  <c r="R24" i="18502"/>
  <c r="S24" i="18502"/>
  <c r="T24" i="18502"/>
  <c r="U24" i="18502"/>
  <c r="CC32" i="3"/>
  <c r="CC33" i="3"/>
  <c r="CB32" i="3"/>
  <c r="CB34" i="3" s="1"/>
  <c r="CB36" i="3" s="1"/>
  <c r="CB23" i="18505" s="1"/>
  <c r="CB33" i="3"/>
  <c r="BV26" i="3"/>
  <c r="BU26" i="3"/>
  <c r="BS33" i="3"/>
  <c r="BS32" i="3"/>
  <c r="BR33" i="3"/>
  <c r="BR32" i="3"/>
  <c r="BQ10" i="3"/>
  <c r="BQ15" i="18505" s="1"/>
  <c r="BP10" i="3"/>
  <c r="BN26" i="3"/>
  <c r="CC31" i="3"/>
  <c r="CB31" i="3"/>
  <c r="CA31" i="3"/>
  <c r="BY31" i="3"/>
  <c r="BY22" i="18505"/>
  <c r="BU31" i="3"/>
  <c r="BT31" i="3"/>
  <c r="BS31" i="3"/>
  <c r="BS22" i="18505" s="1"/>
  <c r="BR31" i="3"/>
  <c r="BR34" i="3" s="1"/>
  <c r="BR36" i="3" s="1"/>
  <c r="BR23" i="18505" s="1"/>
  <c r="BQ31" i="3"/>
  <c r="BQ22" i="18505"/>
  <c r="BP31" i="3"/>
  <c r="BP22" i="18505"/>
  <c r="BO31" i="3"/>
  <c r="BO22" i="18505" s="1"/>
  <c r="BO34" i="3"/>
  <c r="BO36" i="3"/>
  <c r="BO23" i="18505" s="1"/>
  <c r="BN31" i="3"/>
  <c r="CC26" i="3"/>
  <c r="CC20" i="18505"/>
  <c r="CB26" i="3"/>
  <c r="CA26" i="3"/>
  <c r="CA11" i="18505" s="1"/>
  <c r="BY26" i="3"/>
  <c r="BY11" i="18505" s="1"/>
  <c r="BW26" i="3"/>
  <c r="BT26" i="3"/>
  <c r="BS26" i="3"/>
  <c r="BS27" i="3"/>
  <c r="BR26" i="3"/>
  <c r="BQ26" i="3"/>
  <c r="BQ11" i="18505" s="1"/>
  <c r="BO26" i="3"/>
  <c r="BO20" i="18505" s="1"/>
  <c r="CC14" i="3"/>
  <c r="CC9" i="18505" s="1"/>
  <c r="CC10" i="18505"/>
  <c r="CB14" i="3"/>
  <c r="CA14" i="3"/>
  <c r="BY14" i="3"/>
  <c r="BY27" i="3" s="1"/>
  <c r="BW14" i="3"/>
  <c r="BV14" i="3"/>
  <c r="BU14" i="3"/>
  <c r="BU9" i="18505" s="1"/>
  <c r="BU10" i="18505"/>
  <c r="BT14" i="3"/>
  <c r="BT27" i="3" s="1"/>
  <c r="BS14" i="3"/>
  <c r="BS9" i="18505" s="1"/>
  <c r="BR14" i="3"/>
  <c r="BQ14" i="3"/>
  <c r="BO14" i="3"/>
  <c r="BN14" i="3"/>
  <c r="CC10" i="3"/>
  <c r="CC18" i="18505" s="1"/>
  <c r="CC15" i="18505"/>
  <c r="CB10" i="3"/>
  <c r="CA10" i="3"/>
  <c r="CA12" i="18505" s="1"/>
  <c r="CA18" i="18505"/>
  <c r="BY10" i="3"/>
  <c r="BY15" i="18505" s="1"/>
  <c r="BU10" i="3"/>
  <c r="BT10" i="3"/>
  <c r="BT14" i="18505" s="1"/>
  <c r="BS10" i="3"/>
  <c r="BS37" i="3" s="1"/>
  <c r="BR10" i="3"/>
  <c r="BR15" i="18505" s="1"/>
  <c r="BO10" i="3"/>
  <c r="BN10" i="3"/>
  <c r="BM33" i="3"/>
  <c r="BM32" i="3"/>
  <c r="BM28" i="3"/>
  <c r="BM31" i="3"/>
  <c r="BL33" i="3"/>
  <c r="BL32" i="3"/>
  <c r="BL28" i="3"/>
  <c r="BL31" i="3"/>
  <c r="BL22" i="18505" s="1"/>
  <c r="BM26" i="3"/>
  <c r="BL26" i="3"/>
  <c r="BM14" i="3"/>
  <c r="BL14" i="3"/>
  <c r="BL10" i="18505" s="1"/>
  <c r="BM10" i="3"/>
  <c r="BM15" i="18505"/>
  <c r="BL10" i="3"/>
  <c r="BK33" i="3"/>
  <c r="BK31" i="3"/>
  <c r="BK22" i="18505" s="1"/>
  <c r="BJ33" i="3"/>
  <c r="BJ31" i="3"/>
  <c r="BK26" i="3"/>
  <c r="BK11" i="18505"/>
  <c r="BJ26" i="3"/>
  <c r="BK14" i="3"/>
  <c r="BK9" i="18505" s="1"/>
  <c r="BK12" i="18505"/>
  <c r="BJ14" i="3"/>
  <c r="BJ27" i="3"/>
  <c r="BK10" i="3"/>
  <c r="BJ10" i="3"/>
  <c r="BI33" i="3"/>
  <c r="BI32" i="3"/>
  <c r="BH33" i="3"/>
  <c r="BH32" i="3"/>
  <c r="BH34" i="3" s="1"/>
  <c r="BH31" i="3"/>
  <c r="BH22" i="18505"/>
  <c r="BI31" i="3"/>
  <c r="BI22" i="18505"/>
  <c r="BI26" i="3"/>
  <c r="BI10" i="18505" s="1"/>
  <c r="BH26" i="3"/>
  <c r="BH20" i="18505"/>
  <c r="BI14" i="3"/>
  <c r="BI9" i="18505" s="1"/>
  <c r="BI12" i="18505"/>
  <c r="BH14" i="3"/>
  <c r="BI10" i="3"/>
  <c r="BH10" i="3"/>
  <c r="BG35" i="3"/>
  <c r="BF35" i="3"/>
  <c r="BG31" i="3"/>
  <c r="BF31" i="3"/>
  <c r="BF22" i="18505"/>
  <c r="BG26" i="3"/>
  <c r="BG11" i="18505"/>
  <c r="BF26" i="3"/>
  <c r="BF20" i="18505" s="1"/>
  <c r="BG14" i="3"/>
  <c r="BG27" i="3"/>
  <c r="BF14" i="3"/>
  <c r="BF18" i="18505"/>
  <c r="BG10" i="3"/>
  <c r="BF10" i="3"/>
  <c r="BC32" i="3"/>
  <c r="BC30" i="3"/>
  <c r="BC31" i="3"/>
  <c r="BC34" i="3" s="1"/>
  <c r="BC36" i="3" s="1"/>
  <c r="BC23" i="18505" s="1"/>
  <c r="BC22" i="18505"/>
  <c r="BB32" i="3"/>
  <c r="BB30" i="3"/>
  <c r="BB31" i="3" s="1"/>
  <c r="BB22" i="18505" s="1"/>
  <c r="BC26" i="3"/>
  <c r="BB26" i="3"/>
  <c r="BC14" i="3"/>
  <c r="BC9" i="18505" s="1"/>
  <c r="BB14" i="3"/>
  <c r="BB9" i="18505" s="1"/>
  <c r="BB10" i="18505"/>
  <c r="BC10" i="3"/>
  <c r="BC15" i="18505"/>
  <c r="BB10" i="3"/>
  <c r="BB14" i="18505" s="1"/>
  <c r="AX34" i="3"/>
  <c r="AX36" i="3"/>
  <c r="AX23" i="18505" s="1"/>
  <c r="AY31" i="3"/>
  <c r="AY34" i="3" s="1"/>
  <c r="AY36" i="3" s="1"/>
  <c r="AY23" i="18505" s="1"/>
  <c r="AY22" i="18505"/>
  <c r="AX31" i="3"/>
  <c r="AX22" i="18505"/>
  <c r="BA26" i="3"/>
  <c r="AY26" i="3"/>
  <c r="AY11" i="18505" s="1"/>
  <c r="BA14" i="3"/>
  <c r="BA10" i="3"/>
  <c r="AX26" i="3"/>
  <c r="AY14" i="3"/>
  <c r="AY9" i="18505"/>
  <c r="AX14" i="3"/>
  <c r="AY10" i="3"/>
  <c r="AY15" i="18505" s="1"/>
  <c r="AX10" i="3"/>
  <c r="AU35" i="3"/>
  <c r="AT35" i="3"/>
  <c r="B35" i="3" s="1"/>
  <c r="F35" i="18492" s="1"/>
  <c r="AU33" i="3"/>
  <c r="AU32" i="3"/>
  <c r="AU31" i="3"/>
  <c r="AU34" i="3" s="1"/>
  <c r="AU22" i="18505"/>
  <c r="AT33" i="3"/>
  <c r="AT32" i="3"/>
  <c r="AT34" i="3"/>
  <c r="AI31" i="3"/>
  <c r="AI22" i="18505"/>
  <c r="AI34" i="3"/>
  <c r="AI36" i="3" s="1"/>
  <c r="AI23" i="18505" s="1"/>
  <c r="AH31" i="3"/>
  <c r="AI26" i="3"/>
  <c r="AI11" i="18505" s="1"/>
  <c r="AH26" i="3"/>
  <c r="AI14" i="3"/>
  <c r="AI12" i="18505" s="1"/>
  <c r="AH14" i="3"/>
  <c r="AI10" i="3"/>
  <c r="AI15" i="18505" s="1"/>
  <c r="AH10" i="3"/>
  <c r="AT31" i="3"/>
  <c r="AT22" i="18505" s="1"/>
  <c r="AU26" i="3"/>
  <c r="AU11" i="18505" s="1"/>
  <c r="AT26" i="3"/>
  <c r="AT11" i="18505" s="1"/>
  <c r="AU14" i="3"/>
  <c r="AT14" i="3"/>
  <c r="AT9" i="18505" s="1"/>
  <c r="AU10" i="3"/>
  <c r="AT10" i="3"/>
  <c r="AT18" i="18505"/>
  <c r="AS33" i="3"/>
  <c r="AS32" i="3"/>
  <c r="AR32" i="3"/>
  <c r="AR33" i="3"/>
  <c r="AS31" i="3"/>
  <c r="AS22" i="18505" s="1"/>
  <c r="AR31" i="3"/>
  <c r="AR22" i="18505" s="1"/>
  <c r="AS26" i="3"/>
  <c r="AR26" i="3"/>
  <c r="AS14" i="3"/>
  <c r="AS9" i="18505" s="1"/>
  <c r="AR14" i="3"/>
  <c r="AS10" i="3"/>
  <c r="AR10" i="3"/>
  <c r="AQ30" i="3"/>
  <c r="AQ31" i="3"/>
  <c r="AQ22" i="18505"/>
  <c r="AP30" i="3"/>
  <c r="AP31" i="3"/>
  <c r="AP22" i="18505"/>
  <c r="AQ26" i="3"/>
  <c r="AP26" i="3"/>
  <c r="AQ14" i="3"/>
  <c r="AQ10" i="3"/>
  <c r="AQ20" i="18505" s="1"/>
  <c r="AP14" i="3"/>
  <c r="AP10" i="3"/>
  <c r="AO35" i="3"/>
  <c r="AN35" i="3"/>
  <c r="AO31" i="3"/>
  <c r="AO22" i="18505"/>
  <c r="AN31" i="3"/>
  <c r="AO26" i="3"/>
  <c r="AN26" i="3"/>
  <c r="AN11" i="18505"/>
  <c r="AO14" i="3"/>
  <c r="AN14" i="3"/>
  <c r="AN27" i="3"/>
  <c r="AO10" i="3"/>
  <c r="AO12" i="18505" s="1"/>
  <c r="AN10" i="3"/>
  <c r="AM35" i="3"/>
  <c r="AM33" i="3"/>
  <c r="AM34" i="3" s="1"/>
  <c r="AM36" i="3" s="1"/>
  <c r="AM23" i="18505" s="1"/>
  <c r="AL35" i="3"/>
  <c r="AL33" i="3"/>
  <c r="AM31" i="3"/>
  <c r="AM22" i="18505"/>
  <c r="AL31" i="3"/>
  <c r="AM10" i="3"/>
  <c r="AM26" i="3"/>
  <c r="AL26" i="3"/>
  <c r="AL11" i="18505"/>
  <c r="AM14" i="3"/>
  <c r="AM10" i="18505"/>
  <c r="AL14" i="3"/>
  <c r="AL9" i="18505" s="1"/>
  <c r="AL10" i="3"/>
  <c r="AK30" i="3"/>
  <c r="AK31" i="3"/>
  <c r="AK22" i="18505" s="1"/>
  <c r="AJ30" i="3"/>
  <c r="AJ31" i="3"/>
  <c r="AJ22" i="18505" s="1"/>
  <c r="AJ26" i="3"/>
  <c r="AK26" i="3"/>
  <c r="AK14" i="3"/>
  <c r="AJ14" i="3"/>
  <c r="AJ10" i="18505" s="1"/>
  <c r="AK10" i="3"/>
  <c r="AK14" i="18505"/>
  <c r="AJ10" i="3"/>
  <c r="AG35" i="3"/>
  <c r="AG32" i="3"/>
  <c r="AG31" i="3"/>
  <c r="AG34" i="3" s="1"/>
  <c r="AG36" i="3" s="1"/>
  <c r="AG22" i="18505"/>
  <c r="AG23" i="18505"/>
  <c r="AF35" i="3"/>
  <c r="AF32" i="3"/>
  <c r="AF31" i="3"/>
  <c r="AF22" i="18505" s="1"/>
  <c r="AF26" i="3"/>
  <c r="AF11" i="18505"/>
  <c r="AG26" i="3"/>
  <c r="AF14" i="3"/>
  <c r="AG14" i="3"/>
  <c r="AF10" i="3"/>
  <c r="AG10" i="3"/>
  <c r="AE26" i="3"/>
  <c r="AE11" i="18505" s="1"/>
  <c r="AD14" i="3"/>
  <c r="Z31" i="3"/>
  <c r="AA31" i="3"/>
  <c r="AA22" i="18505"/>
  <c r="AA26" i="3"/>
  <c r="AA11" i="18505"/>
  <c r="Z26" i="3"/>
  <c r="AA14" i="3"/>
  <c r="AA9" i="18505"/>
  <c r="Z14" i="3"/>
  <c r="Z27" i="3" s="1"/>
  <c r="Z9" i="18505"/>
  <c r="AA10" i="3"/>
  <c r="Z10" i="3"/>
  <c r="AE14" i="3"/>
  <c r="AE9" i="3"/>
  <c r="AE17" i="18505"/>
  <c r="AD10" i="3"/>
  <c r="AC31" i="3"/>
  <c r="AC22" i="18505" s="1"/>
  <c r="AB31" i="3"/>
  <c r="AB34" i="3" s="1"/>
  <c r="AB36" i="3" s="1"/>
  <c r="AB23" i="18505" s="1"/>
  <c r="AC26" i="3"/>
  <c r="AC14" i="3"/>
  <c r="AC9" i="18505" s="1"/>
  <c r="AB26" i="3"/>
  <c r="AB14" i="3"/>
  <c r="AB27" i="3" s="1"/>
  <c r="AC10" i="3"/>
  <c r="AB10" i="3"/>
  <c r="AB15" i="18505" s="1"/>
  <c r="Y30" i="3"/>
  <c r="Y31" i="3"/>
  <c r="Y22" i="18505" s="1"/>
  <c r="X30" i="3"/>
  <c r="X31" i="3"/>
  <c r="X22" i="18505" s="1"/>
  <c r="Y26" i="3"/>
  <c r="X26" i="3"/>
  <c r="X10" i="18505"/>
  <c r="Y14" i="3"/>
  <c r="Y10" i="18505" s="1"/>
  <c r="X14" i="3"/>
  <c r="X12" i="18505"/>
  <c r="Y10" i="3"/>
  <c r="X10" i="3"/>
  <c r="O31" i="3"/>
  <c r="O22" i="18505"/>
  <c r="O34" i="3"/>
  <c r="O36" i="3" s="1"/>
  <c r="O23" i="18505" s="1"/>
  <c r="N31" i="3"/>
  <c r="O26" i="3"/>
  <c r="N26" i="3"/>
  <c r="O14" i="3"/>
  <c r="N14" i="3"/>
  <c r="O10" i="3"/>
  <c r="N10" i="3"/>
  <c r="U31" i="3"/>
  <c r="U22" i="18505"/>
  <c r="T31" i="3"/>
  <c r="T22" i="18505"/>
  <c r="U26" i="3"/>
  <c r="U11" i="18505" s="1"/>
  <c r="T26" i="3"/>
  <c r="U10" i="3"/>
  <c r="U14" i="3"/>
  <c r="U9" i="18505" s="1"/>
  <c r="T14" i="3"/>
  <c r="T10" i="3"/>
  <c r="T20" i="18505" s="1"/>
  <c r="S28" i="3"/>
  <c r="C28" i="3" s="1"/>
  <c r="G28" i="18492" s="1"/>
  <c r="R28" i="3"/>
  <c r="S26" i="3"/>
  <c r="R26" i="3"/>
  <c r="S14" i="3"/>
  <c r="S12" i="18505" s="1"/>
  <c r="R14" i="3"/>
  <c r="R27" i="3" s="1"/>
  <c r="S10" i="3"/>
  <c r="R10" i="3"/>
  <c r="C24" i="1"/>
  <c r="C25" i="18492" s="1"/>
  <c r="C23" i="1"/>
  <c r="C24" i="18492" s="1"/>
  <c r="C22" i="1"/>
  <c r="C23" i="18492" s="1"/>
  <c r="C21" i="1"/>
  <c r="C22" i="18492" s="1"/>
  <c r="C20" i="1"/>
  <c r="C21" i="18492" s="1"/>
  <c r="C19" i="1"/>
  <c r="C20" i="18492" s="1"/>
  <c r="C18" i="1"/>
  <c r="C19" i="18492" s="1"/>
  <c r="C17" i="1"/>
  <c r="C16" i="1"/>
  <c r="C17" i="18492" s="1"/>
  <c r="C12" i="1"/>
  <c r="B12" i="1"/>
  <c r="C11" i="1"/>
  <c r="B11" i="1"/>
  <c r="L26" i="3"/>
  <c r="L10" i="3"/>
  <c r="M31" i="3"/>
  <c r="M22" i="18505" s="1"/>
  <c r="M26" i="3"/>
  <c r="M20" i="18505" s="1"/>
  <c r="M14" i="3"/>
  <c r="M9" i="18505"/>
  <c r="M10" i="3"/>
  <c r="L31" i="3"/>
  <c r="L22" i="18505"/>
  <c r="L14" i="3"/>
  <c r="L9" i="18505" s="1"/>
  <c r="L10" i="18505"/>
  <c r="K30" i="3"/>
  <c r="K31" i="3"/>
  <c r="K22" i="18505"/>
  <c r="K32" i="3"/>
  <c r="J30" i="3"/>
  <c r="J31" i="3"/>
  <c r="J22" i="18505" s="1"/>
  <c r="J32" i="3"/>
  <c r="K26" i="3"/>
  <c r="K11" i="18505" s="1"/>
  <c r="J26" i="3"/>
  <c r="K14" i="3"/>
  <c r="K27" i="3"/>
  <c r="J14" i="3"/>
  <c r="K10" i="3"/>
  <c r="K15" i="18505" s="1"/>
  <c r="J10" i="3"/>
  <c r="J15" i="18505" s="1"/>
  <c r="I33" i="3"/>
  <c r="H33" i="3"/>
  <c r="I31" i="3"/>
  <c r="I22" i="18505"/>
  <c r="H31" i="3"/>
  <c r="H22" i="18505" s="1"/>
  <c r="I26" i="3"/>
  <c r="H26" i="3"/>
  <c r="H11" i="18505"/>
  <c r="I14" i="3"/>
  <c r="H14" i="3"/>
  <c r="H10" i="18505"/>
  <c r="I10" i="3"/>
  <c r="I15" i="18505" s="1"/>
  <c r="H10" i="3"/>
  <c r="E31" i="3"/>
  <c r="D30" i="3"/>
  <c r="D31" i="3" s="1"/>
  <c r="B30" i="3"/>
  <c r="E26" i="3"/>
  <c r="D26" i="3"/>
  <c r="E14" i="3"/>
  <c r="E9" i="18505" s="1"/>
  <c r="D14" i="3"/>
  <c r="D9" i="18505"/>
  <c r="E10" i="3"/>
  <c r="D10" i="3"/>
  <c r="D38" i="18511"/>
  <c r="E35" i="18492"/>
  <c r="D30" i="18492"/>
  <c r="D29" i="18492"/>
  <c r="M33" i="18511"/>
  <c r="M32" i="18511"/>
  <c r="C32" i="18511" s="1"/>
  <c r="E32" i="18492" s="1"/>
  <c r="M30" i="18511"/>
  <c r="L30" i="18511"/>
  <c r="B30" i="18511" s="1"/>
  <c r="L33" i="18511"/>
  <c r="L32" i="18511"/>
  <c r="B32" i="18511" s="1"/>
  <c r="D32" i="18492" s="1"/>
  <c r="M14" i="18511"/>
  <c r="M9" i="18512" s="1"/>
  <c r="C34" i="1"/>
  <c r="C35" i="18492" s="1"/>
  <c r="B34" i="1"/>
  <c r="B35" i="18492" s="1"/>
  <c r="D21" i="18502"/>
  <c r="D22" i="18502"/>
  <c r="C27" i="1"/>
  <c r="C28" i="18492" s="1"/>
  <c r="O21" i="18502"/>
  <c r="U30" i="1"/>
  <c r="T22" i="18502"/>
  <c r="U25" i="1"/>
  <c r="T8" i="18502"/>
  <c r="B27" i="1"/>
  <c r="B28" i="18492" s="1"/>
  <c r="L38" i="18511"/>
  <c r="U13" i="1"/>
  <c r="U9" i="1"/>
  <c r="R21" i="18502"/>
  <c r="R22" i="18502"/>
  <c r="S21" i="18502"/>
  <c r="J21" i="18502"/>
  <c r="P10" i="18502"/>
  <c r="P17" i="18502"/>
  <c r="L14" i="18511"/>
  <c r="L10" i="18512" s="1"/>
  <c r="M10" i="18511"/>
  <c r="L10" i="18511"/>
  <c r="L15" i="18512" s="1"/>
  <c r="M21" i="18502"/>
  <c r="M22" i="18502"/>
  <c r="L21" i="18502"/>
  <c r="L22" i="18502"/>
  <c r="K30" i="1"/>
  <c r="K21" i="18502" s="1"/>
  <c r="I30" i="1"/>
  <c r="I21" i="18502" s="1"/>
  <c r="H21" i="18502"/>
  <c r="H22" i="18502"/>
  <c r="E30" i="1"/>
  <c r="E21" i="18502" s="1"/>
  <c r="B31" i="1"/>
  <c r="F21" i="18502"/>
  <c r="C31" i="1"/>
  <c r="C32" i="18492" s="1"/>
  <c r="G30" i="1"/>
  <c r="L8" i="18502"/>
  <c r="K25" i="1"/>
  <c r="K13" i="1"/>
  <c r="K9" i="1"/>
  <c r="I25" i="1"/>
  <c r="H10" i="18502"/>
  <c r="G25" i="1"/>
  <c r="G31" i="18511"/>
  <c r="G34" i="18511" s="1"/>
  <c r="G22" i="18512"/>
  <c r="E25" i="1"/>
  <c r="M31" i="18511"/>
  <c r="M34" i="18511" s="1"/>
  <c r="M36" i="18511" s="1"/>
  <c r="M23" i="18512" s="1"/>
  <c r="M22" i="18512"/>
  <c r="M26" i="18511"/>
  <c r="L26" i="18511"/>
  <c r="L20" i="18512" s="1"/>
  <c r="N21" i="18511"/>
  <c r="N26" i="18511"/>
  <c r="K21" i="18511"/>
  <c r="K26" i="18511"/>
  <c r="J21" i="18511"/>
  <c r="J26" i="18511" s="1"/>
  <c r="H21" i="18511"/>
  <c r="H26" i="18511"/>
  <c r="H27" i="18511" s="1"/>
  <c r="H39" i="18511" s="1"/>
  <c r="H31" i="18511"/>
  <c r="I31" i="18511"/>
  <c r="I34" i="18511"/>
  <c r="N31" i="18511"/>
  <c r="N34" i="18511" s="1"/>
  <c r="N22" i="18512"/>
  <c r="O31" i="18511"/>
  <c r="O34" i="18511" s="1"/>
  <c r="O22" i="18512"/>
  <c r="F31" i="18511"/>
  <c r="F22" i="18512" s="1"/>
  <c r="E31" i="18511"/>
  <c r="E22" i="18512" s="1"/>
  <c r="E34" i="18511"/>
  <c r="D31" i="18511"/>
  <c r="D26" i="18511"/>
  <c r="D27" i="18511" s="1"/>
  <c r="D39" i="18511" s="1"/>
  <c r="D9" i="18511"/>
  <c r="D10" i="18511"/>
  <c r="E21" i="18511"/>
  <c r="G21" i="18511"/>
  <c r="G26" i="18511"/>
  <c r="G10" i="18512" s="1"/>
  <c r="F21" i="18511"/>
  <c r="O21" i="18511"/>
  <c r="O26" i="18511" s="1"/>
  <c r="O14" i="18511"/>
  <c r="O10" i="18511"/>
  <c r="O38" i="18511" s="1"/>
  <c r="K14" i="18511"/>
  <c r="K10" i="18511"/>
  <c r="I14" i="18511"/>
  <c r="I10" i="18511"/>
  <c r="G14" i="18511"/>
  <c r="G9" i="18512" s="1"/>
  <c r="G10" i="18511"/>
  <c r="E14" i="18511"/>
  <c r="E10" i="18511"/>
  <c r="N35" i="18511"/>
  <c r="B35" i="18511" s="1"/>
  <c r="D35" i="18492" s="1"/>
  <c r="N14" i="18511"/>
  <c r="N10" i="18511"/>
  <c r="J14" i="18511"/>
  <c r="J10" i="18511"/>
  <c r="J38" i="18511" s="1"/>
  <c r="H14" i="18511"/>
  <c r="H10" i="18511"/>
  <c r="F14" i="18511"/>
  <c r="F18" i="18512" s="1"/>
  <c r="F10" i="18511"/>
  <c r="D14" i="18511"/>
  <c r="D10" i="18512" s="1"/>
  <c r="I13" i="1"/>
  <c r="G13" i="1"/>
  <c r="G9" i="1"/>
  <c r="F17" i="18502"/>
  <c r="I9" i="1"/>
  <c r="E13" i="1"/>
  <c r="E9" i="1"/>
  <c r="D8" i="18502"/>
  <c r="H14" i="18502"/>
  <c r="I21" i="18511"/>
  <c r="I26" i="18511"/>
  <c r="I11" i="18512" s="1"/>
  <c r="C7" i="5"/>
  <c r="C6" i="5"/>
  <c r="C8" i="5"/>
  <c r="B7" i="18512"/>
  <c r="C12" i="18512"/>
  <c r="F26" i="18511"/>
  <c r="N38" i="18511"/>
  <c r="H38" i="18511"/>
  <c r="G38" i="18511"/>
  <c r="L27" i="18511"/>
  <c r="L39" i="18511"/>
  <c r="F38" i="18511"/>
  <c r="L31" i="18511"/>
  <c r="L34" i="18511"/>
  <c r="L36" i="18511" s="1"/>
  <c r="B36" i="18511"/>
  <c r="B23" i="18512" s="1"/>
  <c r="K34" i="3"/>
  <c r="K36" i="3"/>
  <c r="K23" i="18505"/>
  <c r="C14" i="18512"/>
  <c r="CA27" i="3"/>
  <c r="BR27" i="3"/>
  <c r="Y34" i="3"/>
  <c r="Y36" i="3" s="1"/>
  <c r="Y23" i="18505" s="1"/>
  <c r="BL34" i="3"/>
  <c r="BL36" i="3" s="1"/>
  <c r="BL23" i="18505" s="1"/>
  <c r="X34" i="3"/>
  <c r="X36" i="3" s="1"/>
  <c r="X23" i="18505" s="1"/>
  <c r="AS34" i="3"/>
  <c r="AS36" i="3"/>
  <c r="AS23" i="18505" s="1"/>
  <c r="BY34" i="3"/>
  <c r="BY36" i="3"/>
  <c r="BY23" i="18505" s="1"/>
  <c r="T34" i="3"/>
  <c r="T36" i="3"/>
  <c r="T23" i="18505" s="1"/>
  <c r="AO34" i="3"/>
  <c r="AO36" i="3" s="1"/>
  <c r="AO23" i="18505" s="1"/>
  <c r="BB27" i="3"/>
  <c r="BB37" i="3" s="1"/>
  <c r="BP36" i="3"/>
  <c r="BP23" i="18505"/>
  <c r="L34" i="3"/>
  <c r="L36" i="3" s="1"/>
  <c r="L23" i="18505" s="1"/>
  <c r="CC27" i="3"/>
  <c r="AJ27" i="3"/>
  <c r="AJ34" i="3"/>
  <c r="AJ36" i="3" s="1"/>
  <c r="AJ23" i="18505" s="1"/>
  <c r="AT27" i="3"/>
  <c r="BQ34" i="3"/>
  <c r="BQ36" i="3" s="1"/>
  <c r="BQ23" i="18505" s="1"/>
  <c r="BU27" i="3"/>
  <c r="AP34" i="3"/>
  <c r="AP36" i="3"/>
  <c r="AP23" i="18505" s="1"/>
  <c r="BF34" i="3"/>
  <c r="BF36" i="3"/>
  <c r="BF23" i="18505" s="1"/>
  <c r="BH36" i="3"/>
  <c r="BH23" i="18505" s="1"/>
  <c r="BK27" i="3"/>
  <c r="BK37" i="3" s="1"/>
  <c r="H27" i="3"/>
  <c r="AF34" i="3"/>
  <c r="AF36" i="3" s="1"/>
  <c r="AF23" i="18505" s="1"/>
  <c r="AM27" i="3"/>
  <c r="AM37" i="3" s="1"/>
  <c r="I34" i="3"/>
  <c r="I36" i="3" s="1"/>
  <c r="I23" i="18505" s="1"/>
  <c r="BA27" i="3"/>
  <c r="AZ27" i="3"/>
  <c r="BP14" i="3"/>
  <c r="BP25" i="18505"/>
  <c r="F24" i="18492"/>
  <c r="F22" i="18501" s="1"/>
  <c r="BP26" i="3"/>
  <c r="BP20" i="18505" s="1"/>
  <c r="BX27" i="3"/>
  <c r="J20" i="18512"/>
  <c r="J27" i="18511"/>
  <c r="J39" i="18511" s="1"/>
  <c r="J22" i="18512"/>
  <c r="L22" i="18512"/>
  <c r="I22" i="18512"/>
  <c r="E7" i="18501"/>
  <c r="E10" i="18492"/>
  <c r="L23" i="18512"/>
  <c r="C36" i="18511"/>
  <c r="C23" i="18512" s="1"/>
  <c r="BR11" i="18505"/>
  <c r="BR20" i="18505"/>
  <c r="BR10" i="18505"/>
  <c r="BS11" i="18505"/>
  <c r="BS10" i="18505"/>
  <c r="C14" i="3"/>
  <c r="BV36" i="3"/>
  <c r="BV23" i="18505" s="1"/>
  <c r="BW27" i="3"/>
  <c r="F16" i="18492"/>
  <c r="E25" i="18501"/>
  <c r="BM22" i="18505"/>
  <c r="BM34" i="3"/>
  <c r="BM36" i="3" s="1"/>
  <c r="BM23" i="18505"/>
  <c r="AE10" i="18505"/>
  <c r="AE9" i="18505"/>
  <c r="AU10" i="18505"/>
  <c r="AU27" i="3"/>
  <c r="AU37" i="3" s="1"/>
  <c r="AU12" i="18505"/>
  <c r="AU9" i="18505"/>
  <c r="BA22" i="18505"/>
  <c r="BA34" i="3"/>
  <c r="BA36" i="3"/>
  <c r="BA23" i="18505" s="1"/>
  <c r="AG9" i="18505"/>
  <c r="AG27" i="3"/>
  <c r="AG37" i="3" s="1"/>
  <c r="AR18" i="18505"/>
  <c r="AR15" i="18505"/>
  <c r="BN22" i="18505"/>
  <c r="BN34" i="3"/>
  <c r="BN36" i="3" s="1"/>
  <c r="BN23" i="18505" s="1"/>
  <c r="P10" i="18505"/>
  <c r="P27" i="3"/>
  <c r="P12" i="18505"/>
  <c r="P18" i="18505"/>
  <c r="P14" i="18505"/>
  <c r="BK34" i="3"/>
  <c r="BK36" i="3" s="1"/>
  <c r="BK23" i="18505" s="1"/>
  <c r="I12" i="18505"/>
  <c r="I9" i="18505"/>
  <c r="I27" i="3"/>
  <c r="I37" i="3"/>
  <c r="I10" i="18505"/>
  <c r="K37" i="3"/>
  <c r="K18" i="18505"/>
  <c r="K14" i="18505"/>
  <c r="C32" i="3"/>
  <c r="G32" i="18492"/>
  <c r="S31" i="3"/>
  <c r="T27" i="3"/>
  <c r="N20" i="18505"/>
  <c r="N11" i="18505"/>
  <c r="X27" i="3"/>
  <c r="X37" i="3" s="1"/>
  <c r="Z37" i="3"/>
  <c r="Z18" i="18505"/>
  <c r="Z14" i="18505"/>
  <c r="Z15" i="18505"/>
  <c r="AA34" i="3"/>
  <c r="AA36" i="3"/>
  <c r="AA23" i="18505" s="1"/>
  <c r="AF12" i="18505"/>
  <c r="AF9" i="18505"/>
  <c r="AF27" i="3"/>
  <c r="AF37" i="3" s="1"/>
  <c r="AJ20" i="18505"/>
  <c r="AJ11" i="18505"/>
  <c r="AM20" i="18505"/>
  <c r="AO20" i="18505"/>
  <c r="AO11" i="18505"/>
  <c r="AS14" i="18505"/>
  <c r="AS18" i="18505"/>
  <c r="AS15" i="18505"/>
  <c r="AR34" i="3"/>
  <c r="AR36" i="3"/>
  <c r="AR23" i="18505"/>
  <c r="AU20" i="18505"/>
  <c r="BC12" i="18505"/>
  <c r="BC10" i="18505"/>
  <c r="BG10" i="18505"/>
  <c r="BG12" i="18505"/>
  <c r="BG9" i="18505"/>
  <c r="BM12" i="18505"/>
  <c r="BM10" i="18505"/>
  <c r="BT15" i="18505"/>
  <c r="BT18" i="18505"/>
  <c r="BT37" i="3"/>
  <c r="BY10" i="18505"/>
  <c r="BY9" i="18505"/>
  <c r="BT20" i="18505"/>
  <c r="BT11" i="18505"/>
  <c r="BV11" i="18505"/>
  <c r="BV20" i="18505"/>
  <c r="P9" i="18505"/>
  <c r="BC18" i="18505"/>
  <c r="I18" i="18505"/>
  <c r="I14" i="18505"/>
  <c r="AK12" i="18505"/>
  <c r="AK10" i="18505"/>
  <c r="O9" i="18505"/>
  <c r="O27" i="3"/>
  <c r="O37" i="3" s="1"/>
  <c r="AK20" i="18505"/>
  <c r="AK11" i="18505"/>
  <c r="AT20" i="18505"/>
  <c r="BW12" i="18505"/>
  <c r="BW10" i="18505"/>
  <c r="BW9" i="18505"/>
  <c r="BT34" i="3"/>
  <c r="BT36" i="3" s="1"/>
  <c r="BT23" i="18505" s="1"/>
  <c r="BT22" i="18505"/>
  <c r="AG12" i="18505"/>
  <c r="H34" i="3"/>
  <c r="H36" i="3" s="1"/>
  <c r="H23" i="18505" s="1"/>
  <c r="BI34" i="3"/>
  <c r="BI36" i="3" s="1"/>
  <c r="BI23" i="18505" s="1"/>
  <c r="AL27" i="3"/>
  <c r="J12" i="18505"/>
  <c r="J9" i="18505"/>
  <c r="J27" i="3"/>
  <c r="J37" i="3"/>
  <c r="J10" i="18505"/>
  <c r="M34" i="3"/>
  <c r="M36" i="3"/>
  <c r="M23" i="18505" s="1"/>
  <c r="R12" i="18505"/>
  <c r="R9" i="18505"/>
  <c r="AC14" i="18505"/>
  <c r="AC18" i="18505"/>
  <c r="AA18" i="18505"/>
  <c r="AA14" i="18505"/>
  <c r="AA15" i="18505"/>
  <c r="AG20" i="18505"/>
  <c r="AG11" i="18505"/>
  <c r="AM15" i="18505"/>
  <c r="AM14" i="18505"/>
  <c r="AM18" i="18505"/>
  <c r="AN22" i="18505"/>
  <c r="AN34" i="3"/>
  <c r="AN36" i="3" s="1"/>
  <c r="AN23" i="18505" s="1"/>
  <c r="AQ9" i="18505"/>
  <c r="AQ12" i="18505"/>
  <c r="AQ10" i="18505"/>
  <c r="AQ27" i="3"/>
  <c r="AQ37" i="3"/>
  <c r="AU36" i="3"/>
  <c r="AU23" i="18505" s="1"/>
  <c r="BB20" i="18505"/>
  <c r="BB11" i="18505"/>
  <c r="BJ34" i="3"/>
  <c r="BJ36" i="3"/>
  <c r="BJ23" i="18505" s="1"/>
  <c r="BJ22" i="18505"/>
  <c r="BL11" i="18505"/>
  <c r="BL20" i="18505"/>
  <c r="BL27" i="3"/>
  <c r="BU15" i="18505"/>
  <c r="BU14" i="18505"/>
  <c r="BU37" i="3"/>
  <c r="BU18" i="18505"/>
  <c r="AD11" i="18505"/>
  <c r="AD20" i="18505"/>
  <c r="AF10" i="18505"/>
  <c r="T11" i="18505"/>
  <c r="O12" i="18505"/>
  <c r="N27" i="3"/>
  <c r="N9" i="18505"/>
  <c r="BP11" i="18505"/>
  <c r="J34" i="3"/>
  <c r="J36" i="3" s="1"/>
  <c r="J23" i="18505" s="1"/>
  <c r="AP9" i="18505"/>
  <c r="AP12" i="18505"/>
  <c r="AP10" i="18505"/>
  <c r="BO10" i="18505"/>
  <c r="BO27" i="3"/>
  <c r="BO9" i="18505"/>
  <c r="BO12" i="18505"/>
  <c r="AQ34" i="3"/>
  <c r="AQ36" i="3" s="1"/>
  <c r="AQ23" i="18505" s="1"/>
  <c r="AE27" i="3"/>
  <c r="AE37" i="3" s="1"/>
  <c r="BP12" i="18505"/>
  <c r="BP9" i="18505"/>
  <c r="AK27" i="3"/>
  <c r="AK37" i="3" s="1"/>
  <c r="BH27" i="3"/>
  <c r="D14" i="18505"/>
  <c r="I20" i="18505"/>
  <c r="I11" i="18505"/>
  <c r="C30" i="3"/>
  <c r="G30" i="18492" s="1"/>
  <c r="L15" i="18505"/>
  <c r="L18" i="18505"/>
  <c r="L14" i="18505"/>
  <c r="T37" i="3"/>
  <c r="T18" i="18505"/>
  <c r="T15" i="18505"/>
  <c r="N22" i="18505"/>
  <c r="N34" i="3"/>
  <c r="N36" i="3"/>
  <c r="N23" i="18505" s="1"/>
  <c r="Y12" i="18505"/>
  <c r="Y9" i="18505"/>
  <c r="Y27" i="3"/>
  <c r="Y37" i="3"/>
  <c r="AB12" i="18505"/>
  <c r="AB10" i="18505"/>
  <c r="AK34" i="3"/>
  <c r="AK36" i="3" s="1"/>
  <c r="AK23" i="18505" s="1"/>
  <c r="AN37" i="3"/>
  <c r="AP27" i="3"/>
  <c r="AH18" i="18505"/>
  <c r="AH14" i="18505"/>
  <c r="AH15" i="18505"/>
  <c r="BY18" i="18505"/>
  <c r="BY37" i="3"/>
  <c r="BY14" i="18505"/>
  <c r="BY20" i="18505"/>
  <c r="BW22" i="18505"/>
  <c r="BW34" i="3"/>
  <c r="BW36" i="3"/>
  <c r="BW23" i="18505" s="1"/>
  <c r="AK9" i="18505"/>
  <c r="AG10" i="18505"/>
  <c r="BQ10" i="18505"/>
  <c r="N12" i="18505"/>
  <c r="BV12" i="18505"/>
  <c r="BV10" i="18505"/>
  <c r="BV9" i="18505"/>
  <c r="K12" i="18505"/>
  <c r="K9" i="18505"/>
  <c r="K10" i="18505"/>
  <c r="X11" i="18505"/>
  <c r="X20" i="18505"/>
  <c r="AP11" i="18505"/>
  <c r="AP20" i="18505"/>
  <c r="N10" i="18505"/>
  <c r="AN10" i="18505"/>
  <c r="BH11" i="18505"/>
  <c r="C33" i="3"/>
  <c r="G33" i="18492" s="1"/>
  <c r="M12" i="18505"/>
  <c r="M10" i="18505"/>
  <c r="M27" i="3"/>
  <c r="R37" i="3"/>
  <c r="R18" i="18505"/>
  <c r="R14" i="18505"/>
  <c r="R15" i="18505"/>
  <c r="BF12" i="18505"/>
  <c r="BF10" i="18505"/>
  <c r="BF9" i="18505"/>
  <c r="AB20" i="18505"/>
  <c r="AB11" i="18505"/>
  <c r="AO18" i="18505"/>
  <c r="AO14" i="18505"/>
  <c r="AO15" i="18505"/>
  <c r="AX11" i="18505"/>
  <c r="AX27" i="3"/>
  <c r="AX37" i="3" s="1"/>
  <c r="AX20" i="18505"/>
  <c r="BJ18" i="18505"/>
  <c r="BJ37" i="3"/>
  <c r="BJ14" i="18505"/>
  <c r="BJ15" i="18505"/>
  <c r="BS20" i="18505"/>
  <c r="D27" i="3"/>
  <c r="D37" i="3"/>
  <c r="E22" i="18505"/>
  <c r="E34" i="3"/>
  <c r="J20" i="18505"/>
  <c r="J11" i="18505"/>
  <c r="N18" i="18505"/>
  <c r="N14" i="18505"/>
  <c r="N15" i="18505"/>
  <c r="N37" i="3"/>
  <c r="Y20" i="18505"/>
  <c r="Y11" i="18505"/>
  <c r="AK18" i="18505"/>
  <c r="AK15" i="18505"/>
  <c r="AL15" i="18505"/>
  <c r="AL37" i="3"/>
  <c r="AL18" i="18505"/>
  <c r="AS20" i="18505"/>
  <c r="AS11" i="18505"/>
  <c r="AS27" i="3"/>
  <c r="AS37" i="3" s="1"/>
  <c r="AU15" i="18505"/>
  <c r="AU14" i="18505"/>
  <c r="AU18" i="18505"/>
  <c r="BA37" i="3"/>
  <c r="BA18" i="18505"/>
  <c r="BA14" i="18505"/>
  <c r="BA15" i="18505"/>
  <c r="BG22" i="18505"/>
  <c r="BG34" i="3"/>
  <c r="BG36" i="3"/>
  <c r="BG23" i="18505" s="1"/>
  <c r="BI20" i="18505"/>
  <c r="BI27" i="3"/>
  <c r="BI37" i="3" s="1"/>
  <c r="BK18" i="18505"/>
  <c r="BK14" i="18505"/>
  <c r="BK15" i="18505"/>
  <c r="BV14" i="18505"/>
  <c r="BV15" i="18505"/>
  <c r="BV18" i="18505"/>
  <c r="O10" i="18505"/>
  <c r="AO10" i="18505"/>
  <c r="BI11" i="18505"/>
  <c r="T14" i="18505"/>
  <c r="AC15" i="18505"/>
  <c r="J18" i="18505"/>
  <c r="CB22" i="18505"/>
  <c r="BV27" i="3"/>
  <c r="BV37" i="3"/>
  <c r="BF27" i="3"/>
  <c r="H18" i="18505"/>
  <c r="H14" i="18505"/>
  <c r="H15" i="18505"/>
  <c r="H37" i="3"/>
  <c r="Z11" i="18505"/>
  <c r="Z20" i="18505"/>
  <c r="AG18" i="18505"/>
  <c r="AG14" i="18505"/>
  <c r="AG15" i="18505"/>
  <c r="AL12" i="18505"/>
  <c r="AL10" i="18505"/>
  <c r="AN12" i="18505"/>
  <c r="AN9" i="18505"/>
  <c r="AH9" i="18505"/>
  <c r="AH10" i="18505"/>
  <c r="BA12" i="18505"/>
  <c r="BA9" i="18505"/>
  <c r="BA10" i="18505"/>
  <c r="BJ9" i="18505"/>
  <c r="BJ12" i="18505"/>
  <c r="BJ10" i="18505"/>
  <c r="BL37" i="3"/>
  <c r="CA22" i="18505"/>
  <c r="CA34" i="3"/>
  <c r="CA36" i="3"/>
  <c r="CA23" i="18505" s="1"/>
  <c r="AZ22" i="18505"/>
  <c r="AZ34" i="3"/>
  <c r="AZ36" i="3" s="1"/>
  <c r="AZ23" i="18505" s="1"/>
  <c r="BZ18" i="18505"/>
  <c r="BZ14" i="18505"/>
  <c r="BZ15" i="18505"/>
  <c r="AX10" i="18505"/>
  <c r="BZ20" i="18505"/>
  <c r="T12" i="18505"/>
  <c r="AC12" i="18505"/>
  <c r="AD15" i="18505"/>
  <c r="AR12" i="18505"/>
  <c r="AX18" i="18505"/>
  <c r="AX14" i="18505"/>
  <c r="AX15" i="18505"/>
  <c r="BC20" i="18505"/>
  <c r="BH18" i="18505"/>
  <c r="BH37" i="3"/>
  <c r="BH14" i="18505"/>
  <c r="BH15" i="18505"/>
  <c r="BM11" i="18505"/>
  <c r="BM20" i="18505"/>
  <c r="BW11" i="18505"/>
  <c r="BW20" i="18505"/>
  <c r="BZ27" i="3"/>
  <c r="BZ37" i="3" s="1"/>
  <c r="BW37" i="3"/>
  <c r="BW14" i="18505"/>
  <c r="BW15" i="18505"/>
  <c r="AM9" i="18505"/>
  <c r="BN9" i="18505"/>
  <c r="Z10" i="18505"/>
  <c r="AZ10" i="18505"/>
  <c r="BT10" i="18505"/>
  <c r="M11" i="18505"/>
  <c r="AZ11" i="18505"/>
  <c r="CC11" i="18505"/>
  <c r="L12" i="18505"/>
  <c r="BQ14" i="18505"/>
  <c r="AW14" i="18505"/>
  <c r="AW15" i="18505"/>
  <c r="AV10" i="18505"/>
  <c r="AV20" i="18505"/>
  <c r="AV11" i="18505"/>
  <c r="C35" i="3"/>
  <c r="G35" i="18492" s="1"/>
  <c r="C10" i="3"/>
  <c r="C18" i="18505" s="1"/>
  <c r="L27" i="3"/>
  <c r="L37" i="3"/>
  <c r="D10" i="18505"/>
  <c r="H12" i="18505"/>
  <c r="K20" i="18505"/>
  <c r="R11" i="18505"/>
  <c r="R20" i="18505"/>
  <c r="U34" i="3"/>
  <c r="U36" i="3"/>
  <c r="U23" i="18505"/>
  <c r="O20" i="18505"/>
  <c r="X18" i="18505"/>
  <c r="X14" i="18505"/>
  <c r="X15" i="18505"/>
  <c r="AC20" i="18505"/>
  <c r="AE10" i="3"/>
  <c r="AE12" i="18505" s="1"/>
  <c r="AA27" i="3"/>
  <c r="AA37" i="3" s="1"/>
  <c r="AD12" i="18505"/>
  <c r="AS12" i="18505"/>
  <c r="AH11" i="18505"/>
  <c r="AH20" i="18505"/>
  <c r="AY18" i="18505"/>
  <c r="AY14" i="18505"/>
  <c r="BA20" i="18505"/>
  <c r="BI18" i="18505"/>
  <c r="BJ20" i="18505"/>
  <c r="BJ11" i="18505"/>
  <c r="BL15" i="18505"/>
  <c r="BL18" i="18505"/>
  <c r="BN14" i="18505"/>
  <c r="BN15" i="18505"/>
  <c r="CB15" i="18505"/>
  <c r="CB18" i="18505"/>
  <c r="CB12" i="18505"/>
  <c r="BS34" i="3"/>
  <c r="BS36" i="3"/>
  <c r="BS23" i="18505" s="1"/>
  <c r="X9" i="18505"/>
  <c r="AW9" i="18505"/>
  <c r="S10" i="18505"/>
  <c r="AA10" i="18505"/>
  <c r="AI10" i="18505"/>
  <c r="BK10" i="18505"/>
  <c r="BA11" i="18505"/>
  <c r="BO11" i="18505"/>
  <c r="AA12" i="18505"/>
  <c r="CC14" i="18505"/>
  <c r="BM14" i="18505"/>
  <c r="BX20" i="18505"/>
  <c r="AW20" i="18505"/>
  <c r="AW11" i="18505"/>
  <c r="CC37" i="3"/>
  <c r="C9" i="3"/>
  <c r="G9" i="18492"/>
  <c r="E27" i="3"/>
  <c r="E37" i="3" s="1"/>
  <c r="M18" i="18505"/>
  <c r="M14" i="18505"/>
  <c r="M15" i="18505"/>
  <c r="M37" i="3"/>
  <c r="S20" i="18505"/>
  <c r="U15" i="18505"/>
  <c r="Y18" i="18505"/>
  <c r="Y14" i="18505"/>
  <c r="Y15" i="18505"/>
  <c r="AJ37" i="3"/>
  <c r="AJ18" i="18505"/>
  <c r="AJ14" i="18505"/>
  <c r="AO27" i="3"/>
  <c r="AO37" i="3" s="1"/>
  <c r="AP37" i="3"/>
  <c r="AP18" i="18505"/>
  <c r="AP14" i="18505"/>
  <c r="AP15" i="18505"/>
  <c r="AR20" i="18505"/>
  <c r="AT15" i="18505"/>
  <c r="AT37" i="3"/>
  <c r="AX12" i="18505"/>
  <c r="BB15" i="18505"/>
  <c r="BB18" i="18505"/>
  <c r="BB34" i="3"/>
  <c r="BB36" i="3" s="1"/>
  <c r="BB23" i="18505" s="1"/>
  <c r="BH12" i="18505"/>
  <c r="BK20" i="18505"/>
  <c r="BO37" i="3"/>
  <c r="BO14" i="18505"/>
  <c r="BO15" i="18505"/>
  <c r="CC12" i="18505"/>
  <c r="CA20" i="18505"/>
  <c r="AZ37" i="3"/>
  <c r="AZ18" i="18505"/>
  <c r="H9" i="18505"/>
  <c r="AO9" i="18505"/>
  <c r="AX9" i="18505"/>
  <c r="BH9" i="18505"/>
  <c r="T10" i="18505"/>
  <c r="AR10" i="18505"/>
  <c r="E11" i="18505"/>
  <c r="O11" i="18505"/>
  <c r="AM11" i="18505"/>
  <c r="BC11" i="18505"/>
  <c r="BZ12" i="18505"/>
  <c r="Z12" i="18505"/>
  <c r="CB14" i="18505"/>
  <c r="BL14" i="18505"/>
  <c r="AT14" i="18505"/>
  <c r="AD14" i="18505"/>
  <c r="J14" i="18505"/>
  <c r="BO18" i="18505"/>
  <c r="U18" i="18505"/>
  <c r="AV27" i="3"/>
  <c r="AV37" i="3" s="1"/>
  <c r="P37" i="3"/>
  <c r="BF37" i="3"/>
  <c r="BF14" i="18505"/>
  <c r="BF15" i="18505"/>
  <c r="BR18" i="18505"/>
  <c r="BR37" i="3"/>
  <c r="BR14" i="18505"/>
  <c r="BT12" i="18505"/>
  <c r="BX18" i="18505"/>
  <c r="BX37" i="3"/>
  <c r="BX14" i="18505"/>
  <c r="BX15" i="18505"/>
  <c r="BX12" i="18505"/>
  <c r="U10" i="18505"/>
  <c r="AC10" i="18505"/>
  <c r="AS10" i="18505"/>
  <c r="AQ11" i="18505"/>
  <c r="CA14" i="18505"/>
  <c r="BN18" i="18505"/>
  <c r="AN20" i="18505"/>
  <c r="CA37" i="3"/>
  <c r="H20" i="18505"/>
  <c r="S18" i="18505"/>
  <c r="S14" i="18505"/>
  <c r="O18" i="18505"/>
  <c r="O14" i="18505"/>
  <c r="O15" i="18505"/>
  <c r="AB37" i="3"/>
  <c r="AB18" i="18505"/>
  <c r="AB14" i="18505"/>
  <c r="AA20" i="18505"/>
  <c r="AF18" i="18505"/>
  <c r="AF14" i="18505"/>
  <c r="AF15" i="18505"/>
  <c r="AJ12" i="18505"/>
  <c r="AN18" i="18505"/>
  <c r="AN14" i="18505"/>
  <c r="AN15" i="18505"/>
  <c r="AQ18" i="18505"/>
  <c r="AT12" i="18505"/>
  <c r="AI18" i="18505"/>
  <c r="BB12" i="18505"/>
  <c r="BG37" i="3"/>
  <c r="BG14" i="18505"/>
  <c r="BG15" i="18505"/>
  <c r="BL12" i="18505"/>
  <c r="BS18" i="18505"/>
  <c r="BU12" i="18505"/>
  <c r="BQ20" i="18505"/>
  <c r="CB20" i="18505"/>
  <c r="CB11" i="18505"/>
  <c r="BP18" i="18505"/>
  <c r="BP14" i="18505"/>
  <c r="BP15" i="18505"/>
  <c r="BU20" i="18505"/>
  <c r="S9" i="18505"/>
  <c r="AI9" i="18505"/>
  <c r="AD10" i="18505"/>
  <c r="AT10" i="18505"/>
  <c r="BN10" i="18505"/>
  <c r="BX10" i="18505"/>
  <c r="AC11" i="18505"/>
  <c r="AR11" i="18505"/>
  <c r="BU11" i="18505"/>
  <c r="AM12" i="18505"/>
  <c r="BI14" i="18505"/>
  <c r="AQ14" i="18505"/>
  <c r="CA15" i="18505"/>
  <c r="BI15" i="18505"/>
  <c r="S15" i="18505"/>
  <c r="BM18" i="18505"/>
  <c r="BN20" i="18505"/>
  <c r="AW12" i="18505"/>
  <c r="B29" i="3"/>
  <c r="F29" i="18492" s="1"/>
  <c r="BQ18" i="18505"/>
  <c r="AC27" i="3"/>
  <c r="AC37" i="3" s="1"/>
  <c r="T9" i="18505"/>
  <c r="AJ9" i="18505"/>
  <c r="AR9" i="18505"/>
  <c r="S11" i="18505"/>
  <c r="AJ15" i="18505"/>
  <c r="BG18" i="18505"/>
  <c r="AL20" i="18505"/>
  <c r="BE20" i="18505"/>
  <c r="B7" i="18505"/>
  <c r="B33" i="3"/>
  <c r="F33" i="18492" s="1"/>
  <c r="M10" i="18512"/>
  <c r="M27" i="18511"/>
  <c r="M39" i="18511" s="1"/>
  <c r="M11" i="18512"/>
  <c r="D28" i="18492"/>
  <c r="D31" i="18492"/>
  <c r="E18" i="18492"/>
  <c r="E11" i="18501"/>
  <c r="D9" i="18501"/>
  <c r="E14" i="18492"/>
  <c r="E15" i="18501"/>
  <c r="D25" i="18501"/>
  <c r="E17" i="18501"/>
  <c r="E12" i="18501"/>
  <c r="E20" i="18501"/>
  <c r="C18" i="18512"/>
  <c r="F14" i="18492"/>
  <c r="F9" i="18501" s="1"/>
  <c r="F20" i="18505"/>
  <c r="G11" i="18501"/>
  <c r="E20" i="18505"/>
  <c r="D11" i="18505"/>
  <c r="E10" i="18505"/>
  <c r="F10" i="18505"/>
  <c r="B11" i="18505"/>
  <c r="G23" i="18501"/>
  <c r="G22" i="18501"/>
  <c r="G11" i="18505"/>
  <c r="F26" i="18492"/>
  <c r="F27" i="18492" s="1"/>
  <c r="G17" i="18501"/>
  <c r="G10" i="18505"/>
  <c r="C9" i="18505"/>
  <c r="C7" i="18505"/>
  <c r="C25" i="18505"/>
  <c r="G12" i="18492"/>
  <c r="G9" i="18501" s="1"/>
  <c r="F9" i="18505"/>
  <c r="F12" i="18505"/>
  <c r="F27" i="3"/>
  <c r="F37" i="3" s="1"/>
  <c r="B25" i="18505"/>
  <c r="B14" i="3"/>
  <c r="B10" i="18505" s="1"/>
  <c r="F18" i="18505"/>
  <c r="F14" i="18505"/>
  <c r="E15" i="18505"/>
  <c r="B17" i="18505"/>
  <c r="D15" i="18505"/>
  <c r="E18" i="18505"/>
  <c r="D18" i="18505"/>
  <c r="F11" i="18501"/>
  <c r="F7" i="18501"/>
  <c r="E12" i="18505"/>
  <c r="D12" i="18505"/>
  <c r="E14" i="18505"/>
  <c r="D20" i="18505"/>
  <c r="F25" i="18501"/>
  <c r="C17" i="18505"/>
  <c r="G8" i="18492"/>
  <c r="G7" i="18501" s="1"/>
  <c r="G14" i="18505"/>
  <c r="G18" i="18505"/>
  <c r="G15" i="18505"/>
  <c r="G12" i="18505"/>
  <c r="C14" i="18505"/>
  <c r="S22" i="18505"/>
  <c r="S34" i="3"/>
  <c r="S36" i="3"/>
  <c r="S23" i="18505"/>
  <c r="C15" i="18505"/>
  <c r="E36" i="3"/>
  <c r="E23" i="18505" s="1"/>
  <c r="AE15" i="18505"/>
  <c r="AE14" i="18505"/>
  <c r="AE20" i="18505"/>
  <c r="AE18" i="18505"/>
  <c r="E18" i="18501"/>
  <c r="E14" i="18501"/>
  <c r="F31" i="3"/>
  <c r="G14" i="18492"/>
  <c r="G10" i="18492"/>
  <c r="G20" i="18501" s="1"/>
  <c r="G25" i="18501"/>
  <c r="F22" i="18505"/>
  <c r="F34" i="3"/>
  <c r="F30" i="18492"/>
  <c r="G15" i="18501"/>
  <c r="G12" i="18501"/>
  <c r="F36" i="3"/>
  <c r="F23" i="18505"/>
  <c r="Q24" i="18502" l="1"/>
  <c r="Q6" i="18502"/>
  <c r="B7" i="1"/>
  <c r="B9" i="1" s="1"/>
  <c r="Q30" i="1"/>
  <c r="Q21" i="18502" s="1"/>
  <c r="K33" i="1"/>
  <c r="U26" i="1"/>
  <c r="Q9" i="1"/>
  <c r="Q11" i="18502" s="1"/>
  <c r="S26" i="1"/>
  <c r="S33" i="1"/>
  <c r="S35" i="1" s="1"/>
  <c r="S22" i="18502" s="1"/>
  <c r="Q25" i="1"/>
  <c r="Q10" i="18502" s="1"/>
  <c r="P30" i="1"/>
  <c r="C15" i="1"/>
  <c r="C16" i="18492" s="1"/>
  <c r="C22" i="18501"/>
  <c r="I33" i="1"/>
  <c r="I35" i="1" s="1"/>
  <c r="I22" i="18502" s="1"/>
  <c r="Q33" i="1"/>
  <c r="Q35" i="1" s="1"/>
  <c r="B24" i="18502"/>
  <c r="U36" i="1"/>
  <c r="K35" i="1"/>
  <c r="K22" i="18502" s="1"/>
  <c r="K26" i="1"/>
  <c r="K36" i="1" s="1"/>
  <c r="C9" i="1"/>
  <c r="C14" i="18502" s="1"/>
  <c r="C13" i="1"/>
  <c r="B22" i="18501"/>
  <c r="B30" i="1"/>
  <c r="B21" i="18502" s="1"/>
  <c r="B23" i="18501"/>
  <c r="B13" i="1"/>
  <c r="B13" i="18502" s="1"/>
  <c r="O20" i="18512"/>
  <c r="O11" i="18512"/>
  <c r="O27" i="18511"/>
  <c r="D34" i="18511"/>
  <c r="D22" i="18512"/>
  <c r="M18" i="18512"/>
  <c r="M14" i="18512"/>
  <c r="M20" i="18512"/>
  <c r="M38" i="18511"/>
  <c r="M15" i="18512"/>
  <c r="BQ12" i="18505"/>
  <c r="BQ9" i="18505"/>
  <c r="BQ27" i="3"/>
  <c r="BQ37" i="3" s="1"/>
  <c r="J19" i="18502"/>
  <c r="J10" i="18502"/>
  <c r="J36" i="1"/>
  <c r="G21" i="18502"/>
  <c r="G33" i="1"/>
  <c r="G35" i="1" s="1"/>
  <c r="G22" i="18502" s="1"/>
  <c r="U21" i="18502"/>
  <c r="U33" i="1"/>
  <c r="U35" i="1" s="1"/>
  <c r="U22" i="18502" s="1"/>
  <c r="U14" i="18505"/>
  <c r="U12" i="18505"/>
  <c r="U20" i="18505"/>
  <c r="AH12" i="18505"/>
  <c r="AH27" i="3"/>
  <c r="AH37" i="3" s="1"/>
  <c r="AT36" i="3"/>
  <c r="AT23" i="18505" s="1"/>
  <c r="B9" i="18505"/>
  <c r="F10" i="18501"/>
  <c r="E9" i="18501"/>
  <c r="C12" i="18505"/>
  <c r="AB9" i="18505"/>
  <c r="R10" i="18505"/>
  <c r="N21" i="18502"/>
  <c r="N22" i="18502"/>
  <c r="I14" i="18512"/>
  <c r="G20" i="18512"/>
  <c r="G11" i="18512"/>
  <c r="G27" i="18511"/>
  <c r="G39" i="18511" s="1"/>
  <c r="H22" i="18512"/>
  <c r="H34" i="18511"/>
  <c r="G19" i="18502"/>
  <c r="G10" i="18502"/>
  <c r="G26" i="1"/>
  <c r="G36" i="1" s="1"/>
  <c r="O14" i="18502"/>
  <c r="O13" i="18502"/>
  <c r="O17" i="18502"/>
  <c r="O36" i="1"/>
  <c r="B32" i="1"/>
  <c r="B33" i="18492" s="1"/>
  <c r="C23" i="18501"/>
  <c r="BN11" i="18505"/>
  <c r="BN27" i="3"/>
  <c r="BN37" i="3" s="1"/>
  <c r="I8" i="18502"/>
  <c r="I11" i="18502"/>
  <c r="I9" i="18502"/>
  <c r="N15" i="18512"/>
  <c r="N14" i="18512"/>
  <c r="N18" i="18512"/>
  <c r="I12" i="18512"/>
  <c r="I9" i="18512"/>
  <c r="I10" i="18512"/>
  <c r="I27" i="18511"/>
  <c r="I39" i="18511" s="1"/>
  <c r="I38" i="18511"/>
  <c r="B32" i="18492"/>
  <c r="C18" i="18492"/>
  <c r="AL14" i="18505"/>
  <c r="AL22" i="18505"/>
  <c r="AL34" i="3"/>
  <c r="AL36" i="3" s="1"/>
  <c r="AL23" i="18505" s="1"/>
  <c r="E11" i="18502"/>
  <c r="E9" i="18502"/>
  <c r="E8" i="18502"/>
  <c r="C21" i="18511"/>
  <c r="E26" i="18511"/>
  <c r="U19" i="18502"/>
  <c r="U10" i="18502"/>
  <c r="C16" i="18502"/>
  <c r="C9" i="18492"/>
  <c r="B28" i="3"/>
  <c r="R31" i="3"/>
  <c r="BU34" i="3"/>
  <c r="BU36" i="3" s="1"/>
  <c r="BU23" i="18505" s="1"/>
  <c r="BU22" i="18505"/>
  <c r="C29" i="18511"/>
  <c r="E29" i="18492" s="1"/>
  <c r="K31" i="18511"/>
  <c r="G31" i="3"/>
  <c r="C29" i="3"/>
  <c r="G14" i="18501"/>
  <c r="BY12" i="18505"/>
  <c r="F34" i="18511"/>
  <c r="J11" i="18512"/>
  <c r="J10" i="18512"/>
  <c r="B32" i="3"/>
  <c r="F32" i="18492" s="1"/>
  <c r="AR14" i="18505"/>
  <c r="AR27" i="3"/>
  <c r="AR37" i="3" s="1"/>
  <c r="AH22" i="18505"/>
  <c r="AH34" i="3"/>
  <c r="AH36" i="3" s="1"/>
  <c r="AH23" i="18505" s="1"/>
  <c r="F12" i="18512"/>
  <c r="F9" i="18512"/>
  <c r="F10" i="18512"/>
  <c r="E18" i="18512"/>
  <c r="E14" i="18512"/>
  <c r="E15" i="18512"/>
  <c r="E38" i="18511"/>
  <c r="O14" i="18512"/>
  <c r="O15" i="18512"/>
  <c r="O18" i="18512"/>
  <c r="O39" i="18511"/>
  <c r="Z22" i="18505"/>
  <c r="Z34" i="3"/>
  <c r="Z36" i="3" s="1"/>
  <c r="Z23" i="18505" s="1"/>
  <c r="B25" i="1"/>
  <c r="B19" i="18492"/>
  <c r="B27" i="3"/>
  <c r="G18" i="18501"/>
  <c r="BP27" i="3"/>
  <c r="BP37" i="3" s="1"/>
  <c r="BP10" i="18505"/>
  <c r="G14" i="18502"/>
  <c r="G13" i="18502"/>
  <c r="G17" i="18502"/>
  <c r="E12" i="18512"/>
  <c r="D22" i="18505"/>
  <c r="D34" i="3"/>
  <c r="I14" i="18502"/>
  <c r="I13" i="18502"/>
  <c r="I17" i="18502"/>
  <c r="N12" i="18512"/>
  <c r="N10" i="18512"/>
  <c r="K15" i="18512"/>
  <c r="K14" i="18512"/>
  <c r="K38" i="18511"/>
  <c r="K18" i="18512"/>
  <c r="K20" i="18512"/>
  <c r="K11" i="18512"/>
  <c r="N8" i="18502"/>
  <c r="N11" i="18502"/>
  <c r="N9" i="18502"/>
  <c r="S14" i="18502"/>
  <c r="S13" i="18502"/>
  <c r="S17" i="18502"/>
  <c r="B31" i="18492"/>
  <c r="T19" i="18502"/>
  <c r="T10" i="18502"/>
  <c r="M19" i="18502"/>
  <c r="M10" i="18502"/>
  <c r="N14" i="18502"/>
  <c r="N13" i="18502"/>
  <c r="S27" i="3"/>
  <c r="S37" i="3" s="1"/>
  <c r="AC34" i="3"/>
  <c r="AC36" i="3" s="1"/>
  <c r="AC23" i="18505" s="1"/>
  <c r="AD9" i="18505"/>
  <c r="AD27" i="3"/>
  <c r="AD37" i="3" s="1"/>
  <c r="AF20" i="18505"/>
  <c r="AI27" i="3"/>
  <c r="AI37" i="3" s="1"/>
  <c r="BR12" i="18505"/>
  <c r="BR9" i="18505"/>
  <c r="N9" i="18512"/>
  <c r="I20" i="18512"/>
  <c r="BS14" i="18505"/>
  <c r="L9" i="18502"/>
  <c r="H13" i="18502"/>
  <c r="AW18" i="18505"/>
  <c r="AW37" i="3"/>
  <c r="BD10" i="18505"/>
  <c r="B33" i="18511"/>
  <c r="D33" i="18492" s="1"/>
  <c r="D34" i="18492" s="1"/>
  <c r="D36" i="18492" s="1"/>
  <c r="C26" i="3"/>
  <c r="G18" i="18492"/>
  <c r="G26" i="18492" s="1"/>
  <c r="G27" i="18492" s="1"/>
  <c r="G38" i="18492" s="1"/>
  <c r="E28" i="18492"/>
  <c r="F13" i="18502"/>
  <c r="F36" i="1"/>
  <c r="F14" i="18502"/>
  <c r="F15" i="18512"/>
  <c r="F14" i="18512"/>
  <c r="K12" i="18512"/>
  <c r="K10" i="18512"/>
  <c r="E19" i="18502"/>
  <c r="E10" i="18502"/>
  <c r="L19" i="18502"/>
  <c r="L10" i="18502"/>
  <c r="Q13" i="18502"/>
  <c r="Q17" i="18502"/>
  <c r="Q22" i="18502"/>
  <c r="J22" i="18502"/>
  <c r="O22" i="18502"/>
  <c r="L20" i="18505"/>
  <c r="B12" i="18492"/>
  <c r="AQ15" i="18505"/>
  <c r="BC14" i="18505"/>
  <c r="BF11" i="18505"/>
  <c r="CA10" i="18505"/>
  <c r="BR22" i="18505"/>
  <c r="L9" i="18512"/>
  <c r="L11" i="18512"/>
  <c r="D12" i="18512"/>
  <c r="H20" i="18512"/>
  <c r="D9" i="18502"/>
  <c r="P19" i="18502"/>
  <c r="BD37" i="3"/>
  <c r="B31" i="18511"/>
  <c r="B22" i="18512" s="1"/>
  <c r="N20" i="18512"/>
  <c r="N11" i="18512"/>
  <c r="I19" i="18502"/>
  <c r="I10" i="18502"/>
  <c r="K19" i="18502"/>
  <c r="K10" i="18502"/>
  <c r="O8" i="18502"/>
  <c r="O11" i="18502"/>
  <c r="O9" i="18502"/>
  <c r="R14" i="18502"/>
  <c r="R13" i="18502"/>
  <c r="R17" i="18502"/>
  <c r="C6" i="18502"/>
  <c r="C8" i="18492"/>
  <c r="C24" i="18502"/>
  <c r="S11" i="18502"/>
  <c r="S9" i="18502"/>
  <c r="S8" i="18502"/>
  <c r="C12" i="18492"/>
  <c r="E26" i="1"/>
  <c r="E36" i="1" s="1"/>
  <c r="AY20" i="18505"/>
  <c r="CB27" i="3"/>
  <c r="CB37" i="3" s="1"/>
  <c r="CB9" i="18505"/>
  <c r="CB10" i="18505"/>
  <c r="K9" i="18512"/>
  <c r="P14" i="18502"/>
  <c r="H19" i="18502"/>
  <c r="F20" i="18512"/>
  <c r="F11" i="18512"/>
  <c r="N27" i="18511"/>
  <c r="N39" i="18511" s="1"/>
  <c r="D36" i="1"/>
  <c r="D17" i="18502"/>
  <c r="D14" i="18502"/>
  <c r="D13" i="18502"/>
  <c r="G8" i="18502"/>
  <c r="G11" i="18502"/>
  <c r="G9" i="18502"/>
  <c r="H18" i="18512"/>
  <c r="H15" i="18512"/>
  <c r="E10" i="18512"/>
  <c r="E9" i="18512"/>
  <c r="O10" i="18512"/>
  <c r="O9" i="18512"/>
  <c r="D14" i="18512"/>
  <c r="D18" i="18512"/>
  <c r="J14" i="18502"/>
  <c r="J13" i="18502"/>
  <c r="J17" i="18502"/>
  <c r="L17" i="18502"/>
  <c r="L14" i="18502"/>
  <c r="L13" i="18502"/>
  <c r="O19" i="18502"/>
  <c r="O10" i="18502"/>
  <c r="P11" i="18502"/>
  <c r="P9" i="18502"/>
  <c r="B14" i="18502"/>
  <c r="C29" i="1"/>
  <c r="C30" i="18492" s="1"/>
  <c r="C31" i="18492" s="1"/>
  <c r="C34" i="18492" s="1"/>
  <c r="C36" i="18492" s="1"/>
  <c r="R11" i="18502"/>
  <c r="R9" i="18502"/>
  <c r="R8" i="18502"/>
  <c r="B13" i="18492"/>
  <c r="N19" i="18502"/>
  <c r="N10" i="18502"/>
  <c r="H11" i="18512"/>
  <c r="H14" i="18512"/>
  <c r="BL9" i="18505"/>
  <c r="G20" i="18505"/>
  <c r="G27" i="3"/>
  <c r="G37" i="3" s="1"/>
  <c r="BD11" i="18505"/>
  <c r="BD20" i="18505"/>
  <c r="D16" i="18492"/>
  <c r="B26" i="18511"/>
  <c r="H17" i="18502"/>
  <c r="F8" i="18502"/>
  <c r="F11" i="18502"/>
  <c r="F9" i="18502"/>
  <c r="H10" i="18512"/>
  <c r="H12" i="18512"/>
  <c r="H9" i="18512"/>
  <c r="G14" i="18512"/>
  <c r="G15" i="18512"/>
  <c r="B9" i="18511"/>
  <c r="D17" i="18512"/>
  <c r="K14" i="18502"/>
  <c r="K13" i="18502"/>
  <c r="K17" i="18502"/>
  <c r="M17" i="18502"/>
  <c r="M14" i="18502"/>
  <c r="M13" i="18502"/>
  <c r="E33" i="1"/>
  <c r="E35" i="1" s="1"/>
  <c r="E22" i="18502" s="1"/>
  <c r="Q8" i="18502"/>
  <c r="T17" i="18502"/>
  <c r="T14" i="18502"/>
  <c r="T13" i="18502"/>
  <c r="B6" i="18502"/>
  <c r="B8" i="18492"/>
  <c r="F22" i="18502"/>
  <c r="R19" i="18502"/>
  <c r="R10" i="18502"/>
  <c r="U27" i="3"/>
  <c r="U37" i="3" s="1"/>
  <c r="AB22" i="18505"/>
  <c r="AI14" i="18505"/>
  <c r="AI20" i="18505"/>
  <c r="AY27" i="3"/>
  <c r="AY37" i="3" s="1"/>
  <c r="BG20" i="18505"/>
  <c r="BH10" i="18505"/>
  <c r="BN12" i="18505"/>
  <c r="D9" i="18512"/>
  <c r="O12" i="18512"/>
  <c r="C13" i="18492"/>
  <c r="C11" i="18501" s="1"/>
  <c r="AZ9" i="18505"/>
  <c r="D11" i="18501"/>
  <c r="BS15" i="18505"/>
  <c r="T11" i="18502"/>
  <c r="Q37" i="3"/>
  <c r="H11" i="18502"/>
  <c r="H9" i="18502"/>
  <c r="J14" i="18512"/>
  <c r="J18" i="18512"/>
  <c r="J15" i="18512"/>
  <c r="D20" i="18512"/>
  <c r="D11" i="18512"/>
  <c r="F19" i="18502"/>
  <c r="F10" i="18502"/>
  <c r="J11" i="18502"/>
  <c r="J9" i="18502"/>
  <c r="J8" i="18502"/>
  <c r="D19" i="18502"/>
  <c r="D10" i="18502"/>
  <c r="U17" i="18502"/>
  <c r="U14" i="18502"/>
  <c r="U13" i="18502"/>
  <c r="S19" i="18502"/>
  <c r="S10" i="18502"/>
  <c r="BM9" i="18505"/>
  <c r="BM27" i="3"/>
  <c r="BM37" i="3" s="1"/>
  <c r="M12" i="18512"/>
  <c r="B26" i="18492"/>
  <c r="P8" i="18502"/>
  <c r="L11" i="18502"/>
  <c r="C33" i="18511"/>
  <c r="E33" i="18492" s="1"/>
  <c r="B10" i="3"/>
  <c r="F9" i="18492"/>
  <c r="F27" i="18511"/>
  <c r="F39" i="18511" s="1"/>
  <c r="K27" i="18511"/>
  <c r="K39" i="18511" s="1"/>
  <c r="C9" i="5"/>
  <c r="E14" i="18502"/>
  <c r="E17" i="18502"/>
  <c r="E13" i="18502"/>
  <c r="I26" i="1"/>
  <c r="I36" i="1" s="1"/>
  <c r="J9" i="18512"/>
  <c r="J12" i="18512"/>
  <c r="I18" i="18512"/>
  <c r="I15" i="18512"/>
  <c r="B21" i="18511"/>
  <c r="D21" i="18492" s="1"/>
  <c r="D23" i="18501" s="1"/>
  <c r="K11" i="18502"/>
  <c r="K9" i="18502"/>
  <c r="K8" i="18502"/>
  <c r="M11" i="18502"/>
  <c r="M9" i="18502"/>
  <c r="M8" i="18502"/>
  <c r="L14" i="18512"/>
  <c r="L18" i="18512"/>
  <c r="U11" i="18502"/>
  <c r="U9" i="18502"/>
  <c r="U8" i="18502"/>
  <c r="B16" i="18502"/>
  <c r="AD18" i="18505"/>
  <c r="AY12" i="18505"/>
  <c r="AY10" i="18505"/>
  <c r="BC27" i="3"/>
  <c r="BC37" i="3" s="1"/>
  <c r="CC34" i="3"/>
  <c r="CC36" i="3" s="1"/>
  <c r="CC23" i="18505" s="1"/>
  <c r="CC22" i="18505"/>
  <c r="L12" i="18512"/>
  <c r="G18" i="18512"/>
  <c r="AZ14" i="18505"/>
  <c r="BS12" i="18505"/>
  <c r="H8" i="18502"/>
  <c r="D11" i="18502"/>
  <c r="W37" i="3"/>
  <c r="C30" i="18511"/>
  <c r="E30" i="18492" s="1"/>
  <c r="BT9" i="18505"/>
  <c r="BE12" i="18505"/>
  <c r="BZ9" i="18505"/>
  <c r="W12" i="18505"/>
  <c r="CA9" i="18505"/>
  <c r="BD9" i="18505"/>
  <c r="BD18" i="18505"/>
  <c r="W9" i="18505"/>
  <c r="Q26" i="1" l="1"/>
  <c r="Q14" i="18502"/>
  <c r="Q9" i="18502"/>
  <c r="Q19" i="18502"/>
  <c r="C26" i="18492"/>
  <c r="C25" i="1"/>
  <c r="C9" i="18502" s="1"/>
  <c r="B11" i="18502"/>
  <c r="B9" i="18502"/>
  <c r="P21" i="18502"/>
  <c r="P33" i="1"/>
  <c r="C13" i="18502"/>
  <c r="B17" i="18502"/>
  <c r="B33" i="1"/>
  <c r="B35" i="1" s="1"/>
  <c r="B22" i="18502" s="1"/>
  <c r="C8" i="18502"/>
  <c r="C11" i="18502"/>
  <c r="C17" i="18502"/>
  <c r="B10" i="18502"/>
  <c r="B8" i="18502"/>
  <c r="B11" i="18501"/>
  <c r="B34" i="18492"/>
  <c r="B36" i="18492" s="1"/>
  <c r="D26" i="18492"/>
  <c r="B14" i="18492"/>
  <c r="B9" i="18501" s="1"/>
  <c r="C27" i="3"/>
  <c r="C37" i="3" s="1"/>
  <c r="C10" i="18505"/>
  <c r="C11" i="18505"/>
  <c r="C20" i="18505"/>
  <c r="B34" i="18511"/>
  <c r="B37" i="3"/>
  <c r="B14" i="18505"/>
  <c r="B18" i="18505"/>
  <c r="B15" i="18505"/>
  <c r="B20" i="18505"/>
  <c r="B27" i="18511"/>
  <c r="B11" i="18512"/>
  <c r="B10" i="18512"/>
  <c r="C30" i="1"/>
  <c r="E20" i="18512"/>
  <c r="E11" i="18512"/>
  <c r="E27" i="18511"/>
  <c r="E39" i="18511" s="1"/>
  <c r="C10" i="18492"/>
  <c r="C25" i="18501"/>
  <c r="C7" i="18501"/>
  <c r="E21" i="18492"/>
  <c r="C26" i="18511"/>
  <c r="B25" i="18501"/>
  <c r="B10" i="18492"/>
  <c r="B7" i="18501"/>
  <c r="C14" i="18492"/>
  <c r="R34" i="3"/>
  <c r="R36" i="3" s="1"/>
  <c r="R23" i="18505" s="1"/>
  <c r="R22" i="18505"/>
  <c r="B12" i="18505"/>
  <c r="B10" i="18511"/>
  <c r="B20" i="18512" s="1"/>
  <c r="D9" i="18492"/>
  <c r="B17" i="18512"/>
  <c r="B19" i="18502"/>
  <c r="B26" i="1"/>
  <c r="B36" i="1" s="1"/>
  <c r="F28" i="18492"/>
  <c r="F31" i="18492" s="1"/>
  <c r="F34" i="18492" s="1"/>
  <c r="F36" i="18492" s="1"/>
  <c r="B31" i="3"/>
  <c r="B22" i="18505" s="1"/>
  <c r="B17" i="18501"/>
  <c r="G10" i="18501"/>
  <c r="K34" i="18511"/>
  <c r="C34" i="18511" s="1"/>
  <c r="K22" i="18512"/>
  <c r="E31" i="18492"/>
  <c r="E34" i="18492" s="1"/>
  <c r="E36" i="18492" s="1"/>
  <c r="G29" i="18492"/>
  <c r="G31" i="18492" s="1"/>
  <c r="G34" i="18492" s="1"/>
  <c r="G36" i="18492" s="1"/>
  <c r="C31" i="3"/>
  <c r="C22" i="18505" s="1"/>
  <c r="C17" i="18501"/>
  <c r="F10" i="18492"/>
  <c r="F17" i="18501"/>
  <c r="C31" i="18511"/>
  <c r="C22" i="18512" s="1"/>
  <c r="D36" i="3"/>
  <c r="D23" i="18505" s="1"/>
  <c r="B34" i="3"/>
  <c r="B36" i="3" s="1"/>
  <c r="B23" i="18505" s="1"/>
  <c r="G22" i="18505"/>
  <c r="G34" i="3"/>
  <c r="D22" i="18501"/>
  <c r="C10" i="18502" l="1"/>
  <c r="C26" i="1"/>
  <c r="C36" i="1" s="1"/>
  <c r="C27" i="18492"/>
  <c r="C19" i="18502"/>
  <c r="B27" i="18492"/>
  <c r="C9" i="18501"/>
  <c r="F38" i="18492"/>
  <c r="F15" i="18501"/>
  <c r="F14" i="18501"/>
  <c r="F12" i="18501"/>
  <c r="F18" i="18501"/>
  <c r="F20" i="18501"/>
  <c r="B38" i="18492"/>
  <c r="B15" i="18501"/>
  <c r="B14" i="18501"/>
  <c r="B18" i="18501"/>
  <c r="C38" i="18492"/>
  <c r="C15" i="18501"/>
  <c r="C20" i="18501"/>
  <c r="C14" i="18501"/>
  <c r="C18" i="18501"/>
  <c r="C34" i="3"/>
  <c r="C36" i="3" s="1"/>
  <c r="C23" i="18505" s="1"/>
  <c r="G36" i="3"/>
  <c r="G23" i="18505" s="1"/>
  <c r="B20" i="18501"/>
  <c r="C38" i="18511"/>
  <c r="C20" i="18512"/>
  <c r="C10" i="18512"/>
  <c r="C11" i="18512"/>
  <c r="C27" i="18511"/>
  <c r="C39" i="18511" s="1"/>
  <c r="C21" i="18502"/>
  <c r="C33" i="1"/>
  <c r="C35" i="1" s="1"/>
  <c r="C22" i="18502" s="1"/>
  <c r="B10" i="18501"/>
  <c r="B12" i="18501"/>
  <c r="B15" i="18512"/>
  <c r="B14" i="18512"/>
  <c r="B38" i="18511"/>
  <c r="B39" i="18511"/>
  <c r="B18" i="18512"/>
  <c r="B12" i="18512"/>
  <c r="D10" i="18492"/>
  <c r="D17" i="18501"/>
  <c r="C12" i="18501"/>
  <c r="C10" i="18501"/>
  <c r="E26" i="18492"/>
  <c r="E22" i="18501"/>
  <c r="E23" i="18501"/>
  <c r="D10" i="18501"/>
  <c r="D27" i="18492"/>
  <c r="E27" i="18492" l="1"/>
  <c r="E38" i="18492" s="1"/>
  <c r="E10" i="18501"/>
  <c r="D38" i="18492"/>
  <c r="D20" i="18501"/>
  <c r="D12" i="18501"/>
  <c r="D14" i="18501"/>
  <c r="D18" i="18501"/>
  <c r="D15" i="18501"/>
</calcChain>
</file>

<file path=xl/sharedStrings.xml><?xml version="1.0" encoding="utf-8"?>
<sst xmlns="http://schemas.openxmlformats.org/spreadsheetml/2006/main" count="420" uniqueCount="185">
  <si>
    <t>RESUMEN ESTADOS FINANCIEROS CONSOLIDADOS primer semestre del año 2023*</t>
  </si>
  <si>
    <t>INDICE</t>
  </si>
  <si>
    <t>No. PÁGINA</t>
  </si>
  <si>
    <t>CONCEPTO</t>
  </si>
  <si>
    <t>CUADRO 1</t>
  </si>
  <si>
    <t>EMPRESAS DE TRANSPORTE AÉREO
 COBERTURA  AÑO 2022</t>
  </si>
  <si>
    <t>CUADRO 2</t>
  </si>
  <si>
    <t xml:space="preserve">EMPRESAS DE TRANSPORTE AEREO   ESTADOS FINANCIEROS CONSOLIDADOS  AÑO 2022 </t>
  </si>
  <si>
    <t>CUADRO 3</t>
  </si>
  <si>
    <t>EMPRESAS DE TRANSPORTE AEREO   -  COEFICIENTES FINANCIEROS  CONSOLIDADOS  AÑO 2022</t>
  </si>
  <si>
    <t>CUADRO 4</t>
  </si>
  <si>
    <t xml:space="preserve">EMPRESAS DE TRANSPORTE AEREO REGULAR DE PASAJEROS - ESTADOS FINANCIEROS CONSOLIDADOS AÑO 2022 </t>
  </si>
  <si>
    <t>CUADRO 5</t>
  </si>
  <si>
    <t>EMPRESAS DE TRANSPORTE AEREO REGULAR DE PASAJEROS - COEFICIENTES FINANCIEROS  - AÑO 2022</t>
  </si>
  <si>
    <t>CUADRO 6</t>
  </si>
  <si>
    <t>EMPRESAS DE TRANSPORTE AÉREO REGULAR DE CARGA  - ESTADOS FINANCIEROS CONSOLIDADOS  AÑO 2022</t>
  </si>
  <si>
    <t>CUADRO 7</t>
  </si>
  <si>
    <t>EMPRESAS DE TRANSPORTE AÉREO REGULAR DE CARGA  - COEFICIENTES FINANCIEROS   AÑO 2022</t>
  </si>
  <si>
    <t>CUADRO 8</t>
  </si>
  <si>
    <t>EMPRESAS DE TRANSPORTE NO REGULAR AEROTAXIS  - ESTADOS FINANCIEROS  AÑO  2022</t>
  </si>
  <si>
    <t>CUADRO 9</t>
  </si>
  <si>
    <t>EMPRESAS DE TRANSPORTE NO REGULAR AEROTAXIS - COEFICIENTES FINANCIEROS  AÑO 2022</t>
  </si>
  <si>
    <t>CUADRO No. 1</t>
  </si>
  <si>
    <t xml:space="preserve">MODALIDAD </t>
  </si>
  <si>
    <t>EMPRESAS ACTIVAS</t>
  </si>
  <si>
    <t>ESTADOS FINANCIEROS RECIBIDOS</t>
  </si>
  <si>
    <t xml:space="preserve">No. </t>
  </si>
  <si>
    <t>PART.%</t>
  </si>
  <si>
    <t>No.</t>
  </si>
  <si>
    <t>% COBERTURA</t>
  </si>
  <si>
    <t>TRANSPORTE AEREO REGULAR DE PASAJEROS</t>
  </si>
  <si>
    <t>COMERCIAL CARGA</t>
  </si>
  <si>
    <t xml:space="preserve"> TRANSPORTE AEROTAXIS </t>
  </si>
  <si>
    <t>TOTAL</t>
  </si>
  <si>
    <t>CUADRO N° 2</t>
  </si>
  <si>
    <t>(Miles de pesos)</t>
  </si>
  <si>
    <t>RUBROS / PERIODOS</t>
  </si>
  <si>
    <t>TRANSPORTE AÉREO REGULAR DE CARGA</t>
  </si>
  <si>
    <t>TRANSPORTE NO REGULAR AEROTAXIS</t>
  </si>
  <si>
    <t>ESTADO DE SITUACIÓN FINANCIERA</t>
  </si>
  <si>
    <t xml:space="preserve"> A  C  T  I  V  O  S </t>
  </si>
  <si>
    <t>ACTIVO CORRIENTE</t>
  </si>
  <si>
    <t>ACTIVO NO CORRIENTE</t>
  </si>
  <si>
    <t>TOTAL ACTIVO</t>
  </si>
  <si>
    <t>P  A  S  I  V  O  S</t>
  </si>
  <si>
    <t>PASIVO CORRIENTE</t>
  </si>
  <si>
    <t>PASIVO NO CORRIENTE</t>
  </si>
  <si>
    <t>TOTAL PASIVO</t>
  </si>
  <si>
    <t xml:space="preserve">P A T R I M O N I O </t>
  </si>
  <si>
    <t>CAPITAL SOCIAL (PAGADO)</t>
  </si>
  <si>
    <t>RESERVAS OBLIGATORIAS</t>
  </si>
  <si>
    <t>RESERVA POR EMISIÓN DE MONEDA EXTRANJERA</t>
  </si>
  <si>
    <t>PRIMA POR EMISIÓN DE ACCIONES</t>
  </si>
  <si>
    <t>REVALORIZACIÓN PATRIMONIO</t>
  </si>
  <si>
    <t>UTILIDAD (PERDIDA) DEL EJERCICIO</t>
  </si>
  <si>
    <t>UTILIDAD (PERDIDAS) ACUMULADAS</t>
  </si>
  <si>
    <t>ADOPCIÓN NIIF</t>
  </si>
  <si>
    <t>SUPERAVIT POR VALORIZACIONES</t>
  </si>
  <si>
    <t>ORI</t>
  </si>
  <si>
    <t>TOTAL PATRIMONIO</t>
  </si>
  <si>
    <t>TOTAL PASIVO Y PATRIMONIO</t>
  </si>
  <si>
    <t>INGRESOS OPERACIONALES</t>
  </si>
  <si>
    <t>(-) COSTOS</t>
  </si>
  <si>
    <t>(-) GASTOS OPERACIONALES</t>
  </si>
  <si>
    <t>UTILIDAD (PERDIDA) OPERACIONAL</t>
  </si>
  <si>
    <t>(+) OTROS INGRESOS</t>
  </si>
  <si>
    <t>(-) OTROS EGRESOS</t>
  </si>
  <si>
    <t>PÉRDIDA ANTES DE IMPUESTO SOBRE LA RENTA</t>
  </si>
  <si>
    <t>IMPUESTOS A LA  RENTA</t>
  </si>
  <si>
    <t>PERDIDA UTILIDAD NETA DEL AÑO</t>
  </si>
  <si>
    <t>CUADRO N° 3</t>
  </si>
  <si>
    <t>D E   L I Q U I D E Z</t>
  </si>
  <si>
    <t>RAZON CORRIENTE:A.Corriente/P.Corriente</t>
  </si>
  <si>
    <t>D E  E N D E U D A M I E N T O</t>
  </si>
  <si>
    <t>PASIVO CORRIENTE / TOTAL PASIVO</t>
  </si>
  <si>
    <t xml:space="preserve">TOTAL PASIVO/PATRIMONIO </t>
  </si>
  <si>
    <t xml:space="preserve">PASIVO LARGO PLAZO/PATRIMONIO </t>
  </si>
  <si>
    <t>TOTAL PASIVO / TOTAL ACTIVO</t>
  </si>
  <si>
    <t>D E  S O L I D E Z</t>
  </si>
  <si>
    <t>TOTAL ACTIVO/TOTAL PASIVO</t>
  </si>
  <si>
    <t>TOTAL ACTIVO/ PASIVO CORRIENTE</t>
  </si>
  <si>
    <t>D E  E S T A B I L I D A D</t>
  </si>
  <si>
    <t>ACTIVO FIJO/ PASIVO LARGO PLAZO</t>
  </si>
  <si>
    <t>ACTIVO TOTAL/ PASIVO TOTAL</t>
  </si>
  <si>
    <t>DE PROPIEDAD DE LA EMPRESA</t>
  </si>
  <si>
    <t>TOTAL PATRIMONIO/TOTAL ACTIVO</t>
  </si>
  <si>
    <t>D E   R E N T A B I L I D A D</t>
  </si>
  <si>
    <t>UTILIDAD OPER./INGRESO OPER.</t>
  </si>
  <si>
    <t>UTILIDAD NETA/INGRESOS TOTALES</t>
  </si>
  <si>
    <t>C A P I T A L   T R A B A J O</t>
  </si>
  <si>
    <t>ACTIVO CORRIENTE-PASIVO CORRIENTE (Miles de pesos)</t>
  </si>
  <si>
    <t>Fuente:  Cuadro No. 2</t>
  </si>
  <si>
    <t>EMPRESAS DE TRANSPORTE AEREO REGULAR DE PASAJEROS - ESTADOS FINANCIEROS CONSOLIDADOS AÑO 2023*</t>
  </si>
  <si>
    <t>TOTAL MODALIDAD</t>
  </si>
  <si>
    <t>AEROREPUBLICA</t>
  </si>
  <si>
    <t>AIRES</t>
  </si>
  <si>
    <t xml:space="preserve">AVIANCA </t>
  </si>
  <si>
    <t xml:space="preserve">REGIONAL EXPRESS AMERICA </t>
  </si>
  <si>
    <t xml:space="preserve">         FAST COLOMBIA  - VIVA</t>
  </si>
  <si>
    <t>EASY FLY</t>
  </si>
  <si>
    <t xml:space="preserve">MOON FLIGHTS S.A.S. </t>
  </si>
  <si>
    <t>SERVICIO AEREO DE CAPURGANA S.A. - SEARCA</t>
  </si>
  <si>
    <t>SATENA</t>
  </si>
  <si>
    <t>MILES DE PESOS</t>
  </si>
  <si>
    <t>MIILONES Y PASE A MILES</t>
  </si>
  <si>
    <t>*Balance y Estado de Resultados Provisionales, correspondientes al primer semestre del año 2023</t>
  </si>
  <si>
    <t>EMPRESAS DE TRANSPORTE AEREO REGULAR DE PASAJEROS - COEFICIENTES FINANCIEROS  - AÑO 2023</t>
  </si>
  <si>
    <t xml:space="preserve">AEROREPUBLICA </t>
  </si>
  <si>
    <t xml:space="preserve">         FAST COLOMBIA </t>
  </si>
  <si>
    <t>Fuente:  Cuadro No. 4</t>
  </si>
  <si>
    <t>CUADRO N° 6</t>
  </si>
  <si>
    <t>AEROLÍNEA DEL CARIBE S.A. - AER CARIBE S.A.</t>
  </si>
  <si>
    <t>AEROLÍNEAS ANDINAS S.A. - ALIANSA</t>
  </si>
  <si>
    <t>AEROSUCRE S.A.</t>
  </si>
  <si>
    <t>LANCO - LINEAS AEREA DE COLOMBIA</t>
  </si>
  <si>
    <t xml:space="preserve"> LAS - LINEAS AEREAS SURAMERICANAS</t>
  </si>
  <si>
    <t>TAMPA</t>
  </si>
  <si>
    <t>ESTADO DE SITUACION FINANCIERA</t>
  </si>
  <si>
    <t>Fuente: 
Estados Financieros 2022 de las Empresas de Transporte Aéreo de Carga</t>
  </si>
  <si>
    <t>ok</t>
  </si>
  <si>
    <t>miles de pesos</t>
  </si>
  <si>
    <t>CUADRO N° 7</t>
  </si>
  <si>
    <t>LANCO LINEAS AEREAS DE COLOMBIA</t>
  </si>
  <si>
    <t xml:space="preserve"> LAS LINEAS AEREAS SURAMERICANAS</t>
  </si>
  <si>
    <t>Fuente:  Cuadro No. 6</t>
  </si>
  <si>
    <t>CUADRO N° 8</t>
  </si>
  <si>
    <t>AEROSERVICIOS ESPECIALIZADO SAS ASES SAS</t>
  </si>
  <si>
    <t>AEROTAXI GUAYMARAL</t>
  </si>
  <si>
    <t>AEROEJECUTIVOS DE ANTIOQUIA S.A.</t>
  </si>
  <si>
    <t>AERO EXPRESS SAS</t>
  </si>
  <si>
    <t>STARBLUE AIRLINES - ANTES AEROGALAN - LINEAS AEREAS GALAN SAS</t>
  </si>
  <si>
    <t xml:space="preserve">AEROLINEAS LLANERAS ARALL LTDA </t>
  </si>
  <si>
    <t xml:space="preserve">AEROLINEAS PETROLERAS SAS ALPES </t>
  </si>
  <si>
    <t>AEROPACA SAS</t>
  </si>
  <si>
    <t>AEROTAXI DEL UPIA SAS</t>
  </si>
  <si>
    <t xml:space="preserve">  AEROVIAS REGIONALES DEL ORIENTE S.A.S ARO S.A.S</t>
  </si>
  <si>
    <t xml:space="preserve">AVIANLINE CHARTER´S SAS
</t>
  </si>
  <si>
    <t>AVIOCESAR LTDA</t>
  </si>
  <si>
    <t>CHARTER DEL CARIBE S.A.S</t>
  </si>
  <si>
    <t>CUSTOM AVIATION SAS ANTES HELIFLY</t>
  </si>
  <si>
    <t>DELTA HELICÓPTEROS S.A.S</t>
  </si>
  <si>
    <t>GOOD FLY</t>
  </si>
  <si>
    <t>AVIACION ESPECIALIZADA HANGAR 29</t>
  </si>
  <si>
    <t>HELICOL S.A.S</t>
  </si>
  <si>
    <t>NATIV AIR S.A.S. antes  "HELIAV S.A.S."</t>
  </si>
  <si>
    <t xml:space="preserve">HELIGOLFO S.A. </t>
  </si>
  <si>
    <t>HELISERVICE SAS</t>
  </si>
  <si>
    <t>HELISTAR LTDA</t>
  </si>
  <si>
    <t>HELISUR SAS</t>
  </si>
  <si>
    <t>HORIZONTAL DE AVIACIÓN S.A.S. en reorganización FLEXAIR S.A.S</t>
  </si>
  <si>
    <t>INTERNACIONAL EJECUTIVA DE AVIACION S.A.S.
“INTEREJECUTIVA”</t>
  </si>
  <si>
    <t>LANS S.A.S. LINEAS AEREAS DEL NORTE DE SANTANDER S.A.S.</t>
  </si>
  <si>
    <t>LATINOAMERICANA DE SERVICIOS AEREO S.A.S. LASER AEREO S.A.S.</t>
  </si>
  <si>
    <t>LLANERA DE AVIACION S.A.</t>
  </si>
  <si>
    <t>AEROLINEAS DEL LLANO SAS ALLAS</t>
  </si>
  <si>
    <t>PACIFICA DE AVIACION</t>
  </si>
  <si>
    <t>RIO SUR S.A.</t>
  </si>
  <si>
    <t>SAE SERVICIOS AÉREOS ESPECIALES GLOBAL LIFE AMBULANCIAS S.A.S.</t>
  </si>
  <si>
    <t>SAVIARE LTDA  (SERVICIOS AEREOS DEL GUAVIARE LTDA</t>
  </si>
  <si>
    <t>SARPA
SERVICIOS AEREOS PANAMERICANOS S.A.S.</t>
  </si>
  <si>
    <t xml:space="preserve">SERVICIOS INTEGRALES HELICOPORTADOS S.A.S. -SICHER HELICOPTERS S.A.S </t>
  </si>
  <si>
    <t xml:space="preserve">SIS SOLUCIONES INTEGRALES GNSS S.A.S </t>
  </si>
  <si>
    <t>SASA Colombia S.A.  SOCIEDAD AERONAUTICA DE  SANTANDER</t>
  </si>
  <si>
    <t>TAERCO - TAXI AEREO COLOMBIANO LTDA.</t>
  </si>
  <si>
    <t>VERTICAL DE AVIACION LTDA</t>
  </si>
  <si>
    <t>Fuente:
Estados Financieros 2022 de las Empresas de Transporte Aéreo No Regular Aerotaxis</t>
  </si>
  <si>
    <t>Observación: 
Las siguientes empresas no enviaron estados financieros 2022
AEROLINEAS PETROLERAS SAS ALPES
AEROVIAS REGIONALES DEL ORIENTE S.A.S ARO S.A.S
HELISUR SAS
HORIZONTAL DE AVIACIÓN S.A.S. en reorganización FLEXAIR S.A.S
LATINOAMERICANA DE SERVICIOS AEREO S.A.S. LASER AEREO S.A.S.
CUSTOM AVIATION SAS ANTES HELIFLY - Estado de Resultados</t>
  </si>
  <si>
    <t>CUADRO N° 9</t>
  </si>
  <si>
    <t>TOTAL MODALIDAD AEROTAXIS</t>
  </si>
  <si>
    <t xml:space="preserve">AERUPÍA SAS </t>
  </si>
  <si>
    <t xml:space="preserve">AVIANLINE
</t>
  </si>
  <si>
    <t>CHARTER DEL CARIBE S.A.</t>
  </si>
  <si>
    <t xml:space="preserve">DELTA HELICOPTEROS </t>
  </si>
  <si>
    <t>HELISERVICE LTDA (SERVICIOS AEREOS)</t>
  </si>
  <si>
    <t>HORIZONTAL DE AVIACIÓN S.A.S. en reorganización 
FLEXAIR S.A.S</t>
  </si>
  <si>
    <t>INTERNACIONAL EJECUTIVA DE AVIACION S.A.S.</t>
  </si>
  <si>
    <t>SARPA</t>
  </si>
  <si>
    <t xml:space="preserve">SICHER HELICOPTERS S.A.S </t>
  </si>
  <si>
    <t xml:space="preserve">SIS SOLUCIONES INTEGRALES GNSS S A S </t>
  </si>
  <si>
    <t>Fuente:  Cuadro No. 8</t>
  </si>
  <si>
    <t>RESUMEN ESTADOS FINANCIEROS TRANSPORTE AEREO JUNIO 30 - 2023</t>
  </si>
  <si>
    <t>EMPRESAS DE TRANSPORTE AEREO COMERCIAL TRONCAL  - ESTADOS FINANCIEROS CONSOLIDADOS  JUNIO 30 - 2023</t>
  </si>
  <si>
    <t>EMPRESAS DE TRANSPORTE AEREO   COMERCIAL TRONCAL - COEFICIENTES FINANCIEROS  - JUNIO 30 - 2023</t>
  </si>
  <si>
    <t>Fuente:
Estados Financieros 2022 de las Empresas de Transporte Aéreo Regular de Pasajeros</t>
  </si>
  <si>
    <t>OBSERVACIÓN.
FAST COLOMBIA - No envió Estados Financieros año 2022, ni Provisionales, correspondientes al primer semestre del año 2023.
EASY FLY - No envió Estados Financieros Provisionales, correspondientes al primer semestre del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</si>
</sst>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quot;$&quot;* #,##0.00_-;\-&quot;$&quot;* #,##0.00_-;_-&quot;$&quot;* &quot;-&quot;??_-;_-@_-"/>
    <numFmt numFmtId="166" formatCode="0.0%"/>
    <numFmt numFmtId="167" formatCode="_-* #,##0_-;\-* #,##0_-;_-* &quot;-&quot;??_-;_-@_-"/>
    <numFmt numFmtId="168" formatCode="#,##0,"/>
    <numFmt numFmtId="169" formatCode="_-&quot;$&quot;* #,##0_-;\-&quot;$&quot;* #,##0_-;_-&quot;$&quot;* &quot;-&quot;??_-;_-@_-"/>
  </numFmts>
  <fonts count="18" x14ac:knownFonts="1">
    <font>
      <sz val="10"/>
      <name val="Arial"/>
    </font>
    <font>
      <sz val="10"/>
      <name val="Arial"/>
    </font>
    <font>
      <sz val="10"/>
      <name val="Arial"/>
      <family val="2"/>
    </font>
    <font>
      <b/>
      <sz val="9"/>
      <color rgb="FF002060"/>
      <name val="Arial"/>
      <family val="2"/>
    </font>
    <font>
      <sz val="9"/>
      <color rgb="FF002060"/>
      <name val="Arial"/>
      <family val="2"/>
    </font>
    <font>
      <b/>
      <u/>
      <sz val="9"/>
      <color rgb="FF002060"/>
      <name val="Arial"/>
      <family val="2"/>
    </font>
    <font>
      <sz val="9"/>
      <color theme="4" tint="-0.499984740745262"/>
      <name val="Arial"/>
      <family val="2"/>
    </font>
    <font>
      <b/>
      <sz val="9"/>
      <color theme="0"/>
      <name val="Arial"/>
      <family val="2"/>
    </font>
    <font>
      <sz val="9"/>
      <color theme="0"/>
      <name val="Arial"/>
      <family val="2"/>
    </font>
    <font>
      <b/>
      <i/>
      <sz val="9"/>
      <color rgb="FF002060"/>
      <name val="Arial"/>
      <family val="2"/>
    </font>
    <font>
      <b/>
      <sz val="9"/>
      <color theme="4" tint="-0.499984740745262"/>
      <name val="Arial"/>
      <family val="2"/>
    </font>
    <font>
      <sz val="9"/>
      <color rgb="FFFF0000"/>
      <name val="Arial"/>
      <family val="2"/>
    </font>
    <font>
      <b/>
      <sz val="9"/>
      <color rgb="FFFF0000"/>
      <name val="Arial"/>
      <family val="2"/>
    </font>
    <font>
      <u/>
      <sz val="10"/>
      <color indexed="12"/>
      <name val="Arial"/>
      <family val="2"/>
    </font>
    <font>
      <sz val="11"/>
      <name val="Arial"/>
      <family val="2"/>
    </font>
    <font>
      <b/>
      <sz val="11"/>
      <name val="Arial"/>
      <family val="2"/>
    </font>
    <font>
      <b/>
      <sz val="10"/>
      <name val="Arial"/>
      <family val="2"/>
    </font>
    <font>
      <b/>
      <sz val="14"/>
      <name val="Arial"/>
      <family val="2"/>
    </font>
  </fonts>
  <fills count="9">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5"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2" fillId="0" borderId="0"/>
    <xf numFmtId="9" fontId="1" fillId="0" borderId="0" applyFont="0" applyFill="0" applyBorder="0" applyAlignment="0" applyProtection="0"/>
    <xf numFmtId="0" fontId="13" fillId="0" borderId="0" applyNumberFormat="0" applyFill="0" applyBorder="0" applyAlignment="0" applyProtection="0">
      <alignment vertical="top"/>
      <protection locked="0"/>
    </xf>
  </cellStyleXfs>
  <cellXfs count="301">
    <xf numFmtId="0" fontId="0" fillId="0" borderId="0" xfId="0"/>
    <xf numFmtId="0" fontId="3" fillId="2" borderId="1" xfId="0" applyFont="1" applyFill="1" applyBorder="1" applyAlignment="1">
      <alignment horizontal="center" vertical="center"/>
    </xf>
    <xf numFmtId="0" fontId="4" fillId="0" borderId="0" xfId="0" applyFont="1"/>
    <xf numFmtId="0" fontId="4" fillId="0" borderId="0" xfId="0" applyFont="1" applyAlignment="1">
      <alignment horizontal="left"/>
    </xf>
    <xf numFmtId="0" fontId="3" fillId="0" borderId="0" xfId="0" applyFont="1"/>
    <xf numFmtId="164" fontId="4" fillId="3" borderId="0" xfId="0" applyNumberFormat="1" applyFont="1" applyFill="1"/>
    <xf numFmtId="37" fontId="3" fillId="4" borderId="1" xfId="0" applyNumberFormat="1" applyFont="1" applyFill="1" applyBorder="1" applyAlignment="1">
      <alignment horizontal="left"/>
    </xf>
    <xf numFmtId="37" fontId="4" fillId="0" borderId="0" xfId="0" applyNumberFormat="1" applyFont="1" applyAlignment="1">
      <alignment horizontal="right"/>
    </xf>
    <xf numFmtId="37" fontId="4" fillId="0" borderId="0" xfId="0" applyNumberFormat="1" applyFont="1" applyAlignment="1">
      <alignment horizontal="left"/>
    </xf>
    <xf numFmtId="37" fontId="4" fillId="0" borderId="0" xfId="0" applyNumberFormat="1" applyFont="1"/>
    <xf numFmtId="37" fontId="4" fillId="3" borderId="0" xfId="0" applyNumberFormat="1" applyFont="1" applyFill="1" applyAlignment="1">
      <alignment horizontal="left"/>
    </xf>
    <xf numFmtId="37" fontId="3" fillId="3" borderId="0" xfId="0" applyNumberFormat="1" applyFont="1" applyFill="1" applyAlignment="1">
      <alignment horizontal="left"/>
    </xf>
    <xf numFmtId="37" fontId="5" fillId="3" borderId="0" xfId="0" applyNumberFormat="1" applyFont="1" applyFill="1" applyAlignment="1">
      <alignment horizontal="left"/>
    </xf>
    <xf numFmtId="37" fontId="4" fillId="3" borderId="0" xfId="0" quotePrefix="1" applyNumberFormat="1" applyFont="1" applyFill="1" applyAlignment="1">
      <alignment horizontal="left"/>
    </xf>
    <xf numFmtId="0" fontId="3" fillId="3" borderId="0" xfId="0" applyFont="1" applyFill="1" applyAlignment="1">
      <alignment vertical="center"/>
    </xf>
    <xf numFmtId="164" fontId="4" fillId="3" borderId="0" xfId="0" applyNumberFormat="1" applyFont="1" applyFill="1" applyAlignment="1">
      <alignment horizontal="right"/>
    </xf>
    <xf numFmtId="37" fontId="3" fillId="0" borderId="0" xfId="0" applyNumberFormat="1" applyFont="1" applyAlignment="1">
      <alignment horizontal="left"/>
    </xf>
    <xf numFmtId="0" fontId="4" fillId="3" borderId="0" xfId="0" applyFont="1" applyFill="1"/>
    <xf numFmtId="10" fontId="3" fillId="2" borderId="1" xfId="0" applyNumberFormat="1" applyFont="1" applyFill="1" applyBorder="1" applyAlignment="1">
      <alignment horizontal="right"/>
    </xf>
    <xf numFmtId="166" fontId="4" fillId="0" borderId="0" xfId="0" applyNumberFormat="1" applyFont="1"/>
    <xf numFmtId="166" fontId="3" fillId="0" borderId="0" xfId="0" applyNumberFormat="1" applyFont="1"/>
    <xf numFmtId="37" fontId="3" fillId="3" borderId="0" xfId="0" applyNumberFormat="1" applyFont="1" applyFill="1" applyAlignment="1">
      <alignment horizontal="center"/>
    </xf>
    <xf numFmtId="37" fontId="4" fillId="3" borderId="0" xfId="0" applyNumberFormat="1" applyFont="1" applyFill="1" applyAlignment="1">
      <alignment horizontal="center" vertical="center"/>
    </xf>
    <xf numFmtId="37" fontId="4" fillId="3" borderId="0" xfId="0" quotePrefix="1" applyNumberFormat="1" applyFont="1" applyFill="1" applyAlignment="1">
      <alignment horizontal="center" vertical="center"/>
    </xf>
    <xf numFmtId="0" fontId="4" fillId="3" borderId="0" xfId="0" applyFont="1" applyFill="1" applyAlignment="1">
      <alignment vertical="center"/>
    </xf>
    <xf numFmtId="37" fontId="4" fillId="3" borderId="0" xfId="0" applyNumberFormat="1" applyFont="1" applyFill="1" applyAlignment="1">
      <alignment vertical="center"/>
    </xf>
    <xf numFmtId="164" fontId="4" fillId="3" borderId="0" xfId="0" applyNumberFormat="1" applyFont="1" applyFill="1" applyAlignment="1">
      <alignment vertical="center"/>
    </xf>
    <xf numFmtId="38" fontId="4" fillId="3" borderId="0" xfId="3" applyNumberFormat="1" applyFont="1" applyFill="1" applyBorder="1" applyAlignment="1" applyProtection="1">
      <alignment vertical="center"/>
    </xf>
    <xf numFmtId="164" fontId="3" fillId="4" borderId="1" xfId="0" applyNumberFormat="1" applyFont="1" applyFill="1" applyBorder="1" applyAlignment="1">
      <alignment vertical="center"/>
    </xf>
    <xf numFmtId="3" fontId="3" fillId="4" borderId="1" xfId="0" applyNumberFormat="1" applyFont="1" applyFill="1" applyBorder="1" applyAlignment="1">
      <alignment vertical="center"/>
    </xf>
    <xf numFmtId="0" fontId="3" fillId="0" borderId="0" xfId="0" applyFont="1" applyAlignment="1">
      <alignment horizontal="left"/>
    </xf>
    <xf numFmtId="0" fontId="4" fillId="0" borderId="0" xfId="0" applyFont="1" applyAlignment="1">
      <alignment horizontal="center" vertical="center"/>
    </xf>
    <xf numFmtId="0" fontId="4" fillId="3" borderId="0" xfId="0" applyFont="1" applyFill="1" applyAlignment="1">
      <alignment horizontal="center" vertical="center"/>
    </xf>
    <xf numFmtId="3" fontId="4" fillId="0" borderId="0" xfId="0" applyNumberFormat="1" applyFont="1" applyAlignment="1">
      <alignment horizontal="center" vertical="center"/>
    </xf>
    <xf numFmtId="37" fontId="3" fillId="3" borderId="0" xfId="0" applyNumberFormat="1" applyFont="1" applyFill="1" applyAlignment="1">
      <alignment horizontal="left" vertical="center"/>
    </xf>
    <xf numFmtId="37" fontId="5" fillId="3" borderId="0" xfId="0" applyNumberFormat="1" applyFont="1" applyFill="1" applyAlignment="1">
      <alignment horizontal="left" vertical="center"/>
    </xf>
    <xf numFmtId="37" fontId="4" fillId="3" borderId="0" xfId="0" applyNumberFormat="1" applyFont="1" applyFill="1" applyAlignment="1">
      <alignment horizontal="left" vertical="center"/>
    </xf>
    <xf numFmtId="37" fontId="3" fillId="5" borderId="2" xfId="0" applyNumberFormat="1" applyFont="1" applyFill="1" applyBorder="1" applyAlignment="1">
      <alignment horizontal="left" vertical="center"/>
    </xf>
    <xf numFmtId="37" fontId="4" fillId="3" borderId="0" xfId="0" quotePrefix="1" applyNumberFormat="1" applyFont="1" applyFill="1" applyAlignment="1">
      <alignment horizontal="left" vertical="center"/>
    </xf>
    <xf numFmtId="37" fontId="3" fillId="4" borderId="3" xfId="0" applyNumberFormat="1" applyFont="1" applyFill="1" applyBorder="1" applyAlignment="1">
      <alignment horizontal="left" vertical="center"/>
    </xf>
    <xf numFmtId="37" fontId="5" fillId="3" borderId="4" xfId="0" applyNumberFormat="1" applyFont="1" applyFill="1" applyBorder="1" applyAlignment="1">
      <alignment horizontal="left" vertical="center"/>
    </xf>
    <xf numFmtId="37" fontId="4" fillId="3" borderId="4" xfId="0" applyNumberFormat="1" applyFont="1" applyFill="1" applyBorder="1" applyAlignment="1">
      <alignment horizontal="left" vertical="center"/>
    </xf>
    <xf numFmtId="37" fontId="3" fillId="4" borderId="1" xfId="0" applyNumberFormat="1" applyFont="1" applyFill="1" applyBorder="1" applyAlignment="1">
      <alignment horizontal="left" vertical="center"/>
    </xf>
    <xf numFmtId="168" fontId="4" fillId="3" borderId="0" xfId="3" applyNumberFormat="1" applyFont="1" applyFill="1" applyBorder="1" applyAlignment="1" applyProtection="1">
      <alignment horizontal="center" vertical="center"/>
    </xf>
    <xf numFmtId="168" fontId="3" fillId="5" borderId="1" xfId="3" applyNumberFormat="1" applyFont="1" applyFill="1" applyBorder="1" applyAlignment="1" applyProtection="1">
      <alignment horizontal="center" vertical="center"/>
    </xf>
    <xf numFmtId="168" fontId="4" fillId="3" borderId="0" xfId="0" applyNumberFormat="1" applyFont="1" applyFill="1" applyAlignment="1">
      <alignment horizontal="center" vertical="center"/>
    </xf>
    <xf numFmtId="168" fontId="3" fillId="3" borderId="0" xfId="3" applyNumberFormat="1" applyFont="1" applyFill="1" applyBorder="1" applyAlignment="1" applyProtection="1">
      <alignment horizontal="center" vertical="center"/>
    </xf>
    <xf numFmtId="168" fontId="3" fillId="3" borderId="0" xfId="0" applyNumberFormat="1" applyFont="1" applyFill="1" applyAlignment="1">
      <alignment horizontal="center" vertical="center"/>
    </xf>
    <xf numFmtId="168" fontId="3" fillId="4" borderId="1" xfId="0" applyNumberFormat="1" applyFont="1" applyFill="1" applyBorder="1" applyAlignment="1">
      <alignment horizontal="center" vertical="center"/>
    </xf>
    <xf numFmtId="168" fontId="4" fillId="4" borderId="1" xfId="0" applyNumberFormat="1" applyFont="1" applyFill="1" applyBorder="1" applyAlignment="1">
      <alignment horizontal="center" vertical="center"/>
    </xf>
    <xf numFmtId="168" fontId="4" fillId="3" borderId="0" xfId="1" applyNumberFormat="1" applyFont="1" applyFill="1" applyBorder="1" applyAlignment="1" applyProtection="1">
      <alignment horizontal="center" vertical="center"/>
    </xf>
    <xf numFmtId="168" fontId="3" fillId="3" borderId="0" xfId="0" applyNumberFormat="1" applyFont="1" applyFill="1" applyAlignment="1">
      <alignment vertical="center"/>
    </xf>
    <xf numFmtId="168" fontId="4" fillId="3" borderId="0" xfId="0" applyNumberFormat="1" applyFont="1" applyFill="1" applyAlignment="1">
      <alignment vertical="center"/>
    </xf>
    <xf numFmtId="168" fontId="3" fillId="5" borderId="1" xfId="0" applyNumberFormat="1" applyFont="1" applyFill="1" applyBorder="1" applyAlignment="1">
      <alignment horizontal="center" vertical="center"/>
    </xf>
    <xf numFmtId="168" fontId="3" fillId="3" borderId="0" xfId="1" applyNumberFormat="1" applyFont="1" applyFill="1" applyBorder="1" applyAlignment="1">
      <alignment horizontal="center" vertical="center"/>
    </xf>
    <xf numFmtId="168" fontId="3" fillId="5" borderId="1" xfId="1" applyNumberFormat="1" applyFont="1" applyFill="1" applyBorder="1" applyAlignment="1">
      <alignment horizontal="center" vertical="center"/>
    </xf>
    <xf numFmtId="168" fontId="3" fillId="3" borderId="0" xfId="1" applyNumberFormat="1" applyFont="1" applyFill="1" applyBorder="1" applyAlignment="1" applyProtection="1">
      <alignment horizontal="center" vertical="center"/>
    </xf>
    <xf numFmtId="168" fontId="3" fillId="5" borderId="1" xfId="1" applyNumberFormat="1" applyFont="1" applyFill="1" applyBorder="1" applyAlignment="1" applyProtection="1">
      <alignment horizontal="center" vertical="center"/>
    </xf>
    <xf numFmtId="168" fontId="4" fillId="3" borderId="0" xfId="1" applyNumberFormat="1" applyFont="1" applyFill="1" applyBorder="1" applyAlignment="1">
      <alignment horizontal="center" vertical="center"/>
    </xf>
    <xf numFmtId="168" fontId="3" fillId="5" borderId="1" xfId="0" applyNumberFormat="1" applyFont="1" applyFill="1" applyBorder="1" applyAlignment="1">
      <alignment vertical="center"/>
    </xf>
    <xf numFmtId="168" fontId="4" fillId="3" borderId="0" xfId="1" applyNumberFormat="1" applyFont="1" applyFill="1" applyAlignment="1">
      <alignment vertical="center"/>
    </xf>
    <xf numFmtId="37" fontId="3" fillId="0" borderId="0" xfId="0" applyNumberFormat="1" applyFont="1" applyAlignment="1">
      <alignment horizontal="center"/>
    </xf>
    <xf numFmtId="37" fontId="3" fillId="2" borderId="1" xfId="0" applyNumberFormat="1" applyFont="1" applyFill="1" applyBorder="1" applyAlignment="1">
      <alignment horizontal="center" vertical="center"/>
    </xf>
    <xf numFmtId="37" fontId="3" fillId="3" borderId="0" xfId="0" applyNumberFormat="1" applyFont="1" applyFill="1" applyAlignment="1">
      <alignment horizontal="center" vertical="center"/>
    </xf>
    <xf numFmtId="37" fontId="3" fillId="2" borderId="1" xfId="0" applyNumberFormat="1" applyFont="1" applyFill="1" applyBorder="1" applyAlignment="1">
      <alignment horizontal="left" vertical="center"/>
    </xf>
    <xf numFmtId="37" fontId="3" fillId="3" borderId="0" xfId="0" applyNumberFormat="1" applyFont="1" applyFill="1" applyAlignment="1" applyProtection="1">
      <alignment horizontal="center" vertical="center"/>
      <protection locked="0"/>
    </xf>
    <xf numFmtId="37" fontId="3" fillId="0" borderId="0" xfId="0" applyNumberFormat="1"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9" fontId="4" fillId="0" borderId="1" xfId="5" applyFont="1" applyBorder="1" applyAlignment="1">
      <alignment horizontal="center" vertical="center"/>
    </xf>
    <xf numFmtId="9" fontId="3" fillId="2" borderId="1" xfId="5" applyFont="1" applyFill="1" applyBorder="1" applyAlignment="1">
      <alignment horizontal="center" vertical="center"/>
    </xf>
    <xf numFmtId="0" fontId="4" fillId="0" borderId="0" xfId="0" applyFont="1" applyAlignment="1">
      <alignment horizontal="center"/>
    </xf>
    <xf numFmtId="0" fontId="4" fillId="3" borderId="5" xfId="0" applyFont="1" applyFill="1" applyBorder="1"/>
    <xf numFmtId="0" fontId="6" fillId="3" borderId="6" xfId="0" applyFont="1" applyFill="1" applyBorder="1" applyAlignment="1">
      <alignment horizontal="left"/>
    </xf>
    <xf numFmtId="0" fontId="6" fillId="3" borderId="7" xfId="0" applyFont="1" applyFill="1" applyBorder="1"/>
    <xf numFmtId="0" fontId="6" fillId="3" borderId="8" xfId="0" applyFont="1" applyFill="1" applyBorder="1" applyAlignment="1">
      <alignment horizontal="left"/>
    </xf>
    <xf numFmtId="0" fontId="6" fillId="3" borderId="5" xfId="0" applyFont="1" applyFill="1" applyBorder="1"/>
    <xf numFmtId="0" fontId="6" fillId="3" borderId="9" xfId="0" applyFont="1" applyFill="1" applyBorder="1" applyAlignment="1">
      <alignment horizontal="left"/>
    </xf>
    <xf numFmtId="0" fontId="6" fillId="3" borderId="10" xfId="0" applyFont="1" applyFill="1" applyBorder="1"/>
    <xf numFmtId="37" fontId="3" fillId="3" borderId="0" xfId="0" applyNumberFormat="1" applyFont="1" applyFill="1" applyAlignment="1">
      <alignment vertical="center"/>
    </xf>
    <xf numFmtId="37" fontId="3" fillId="3" borderId="0" xfId="0" applyNumberFormat="1" applyFont="1" applyFill="1"/>
    <xf numFmtId="37" fontId="4" fillId="3" borderId="0" xfId="0" applyNumberFormat="1" applyFont="1" applyFill="1"/>
    <xf numFmtId="0" fontId="3" fillId="3" borderId="0" xfId="0" applyFont="1" applyFill="1"/>
    <xf numFmtId="37" fontId="4" fillId="3" borderId="0" xfId="0" quotePrefix="1" applyNumberFormat="1" applyFont="1" applyFill="1" applyAlignment="1">
      <alignment vertical="center"/>
    </xf>
    <xf numFmtId="37" fontId="3" fillId="3" borderId="0" xfId="0" quotePrefix="1" applyNumberFormat="1" applyFont="1" applyFill="1" applyAlignment="1">
      <alignment vertical="center"/>
    </xf>
    <xf numFmtId="37" fontId="5" fillId="3" borderId="0" xfId="0" applyNumberFormat="1" applyFont="1" applyFill="1" applyAlignment="1">
      <alignment vertical="center"/>
    </xf>
    <xf numFmtId="37" fontId="3" fillId="4" borderId="1" xfId="0" applyNumberFormat="1" applyFont="1" applyFill="1" applyBorder="1" applyAlignment="1">
      <alignment vertical="center"/>
    </xf>
    <xf numFmtId="37" fontId="4" fillId="0" borderId="0" xfId="0" applyNumberFormat="1" applyFont="1" applyAlignment="1">
      <alignment horizontal="left" vertical="center"/>
    </xf>
    <xf numFmtId="0" fontId="4" fillId="0" borderId="0" xfId="0" applyFont="1" applyAlignment="1">
      <alignment vertical="center"/>
    </xf>
    <xf numFmtId="164" fontId="4" fillId="3" borderId="0" xfId="0" applyNumberFormat="1" applyFont="1" applyFill="1" applyAlignment="1">
      <alignment horizontal="right" vertical="center"/>
    </xf>
    <xf numFmtId="0" fontId="4" fillId="3" borderId="0" xfId="0" applyFont="1" applyFill="1" applyAlignment="1">
      <alignment horizontal="center"/>
    </xf>
    <xf numFmtId="10" fontId="3" fillId="2" borderId="1" xfId="0" applyNumberFormat="1" applyFont="1" applyFill="1" applyBorder="1" applyAlignment="1">
      <alignment horizontal="center" vertical="center"/>
    </xf>
    <xf numFmtId="10" fontId="4" fillId="3" borderId="1" xfId="0" applyNumberFormat="1" applyFont="1" applyFill="1" applyBorder="1" applyAlignment="1">
      <alignment horizontal="center" vertical="center"/>
    </xf>
    <xf numFmtId="10" fontId="4" fillId="2" borderId="1" xfId="0" applyNumberFormat="1" applyFont="1" applyFill="1" applyBorder="1" applyAlignment="1" applyProtection="1">
      <alignment horizontal="center" vertical="center"/>
      <protection locked="0"/>
    </xf>
    <xf numFmtId="10" fontId="4" fillId="3" borderId="1" xfId="0" applyNumberFormat="1" applyFont="1" applyFill="1" applyBorder="1" applyAlignment="1" applyProtection="1">
      <alignment horizontal="center" vertical="center"/>
      <protection locked="0"/>
    </xf>
    <xf numFmtId="164" fontId="4" fillId="2" borderId="1"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0" fontId="4" fillId="2" borderId="0" xfId="0" applyFont="1" applyFill="1" applyAlignment="1">
      <alignment horizontal="center" vertical="center"/>
    </xf>
    <xf numFmtId="37" fontId="3" fillId="2" borderId="1" xfId="0" applyNumberFormat="1" applyFont="1" applyFill="1" applyBorder="1"/>
    <xf numFmtId="167" fontId="4" fillId="0" borderId="1" xfId="1" applyNumberFormat="1" applyFont="1" applyBorder="1" applyAlignment="1" applyProtection="1">
      <alignment vertical="center"/>
    </xf>
    <xf numFmtId="37" fontId="3" fillId="2" borderId="1" xfId="0" applyNumberFormat="1" applyFont="1" applyFill="1" applyBorder="1" applyAlignment="1">
      <alignment vertical="center"/>
    </xf>
    <xf numFmtId="37" fontId="4" fillId="0" borderId="1" xfId="0" applyNumberFormat="1" applyFont="1" applyBorder="1" applyAlignment="1">
      <alignment vertical="center"/>
    </xf>
    <xf numFmtId="37" fontId="4" fillId="0" borderId="1" xfId="0" quotePrefix="1" applyNumberFormat="1" applyFont="1" applyBorder="1" applyAlignment="1">
      <alignment vertical="center"/>
    </xf>
    <xf numFmtId="167" fontId="4" fillId="0" borderId="1" xfId="1" applyNumberFormat="1" applyFont="1" applyBorder="1" applyAlignment="1" applyProtection="1">
      <alignment horizontal="left" vertical="center"/>
    </xf>
    <xf numFmtId="37" fontId="4" fillId="0" borderId="1" xfId="0" applyNumberFormat="1" applyFont="1" applyBorder="1" applyAlignment="1">
      <alignment horizontal="left" vertical="center"/>
    </xf>
    <xf numFmtId="37" fontId="4" fillId="0" borderId="1" xfId="0" quotePrefix="1" applyNumberFormat="1" applyFont="1" applyBorder="1" applyAlignment="1">
      <alignment horizontal="left" vertical="center"/>
    </xf>
    <xf numFmtId="0" fontId="3" fillId="0" borderId="0" xfId="0" applyFont="1" applyAlignment="1">
      <alignment horizontal="left" vertical="top" wrapText="1"/>
    </xf>
    <xf numFmtId="37" fontId="3" fillId="2" borderId="11" xfId="0" applyNumberFormat="1" applyFont="1" applyFill="1" applyBorder="1" applyAlignment="1">
      <alignment horizontal="left" vertical="center"/>
    </xf>
    <xf numFmtId="10" fontId="3" fillId="2" borderId="0" xfId="0" applyNumberFormat="1" applyFont="1" applyFill="1" applyAlignment="1">
      <alignment horizontal="center" vertical="center"/>
    </xf>
    <xf numFmtId="166" fontId="4" fillId="2" borderId="0" xfId="0" applyNumberFormat="1" applyFont="1" applyFill="1" applyAlignment="1">
      <alignment horizontal="center" vertical="center"/>
    </xf>
    <xf numFmtId="10" fontId="4" fillId="2" borderId="0" xfId="0" applyNumberFormat="1" applyFont="1" applyFill="1" applyAlignment="1" applyProtection="1">
      <alignment horizontal="center" vertical="center"/>
      <protection locked="0"/>
    </xf>
    <xf numFmtId="3" fontId="4" fillId="0" borderId="1" xfId="0" quotePrefix="1" applyNumberFormat="1" applyFont="1" applyBorder="1" applyAlignment="1">
      <alignment horizontal="left" vertical="center"/>
    </xf>
    <xf numFmtId="37" fontId="4" fillId="3" borderId="0" xfId="1" applyNumberFormat="1" applyFont="1" applyFill="1" applyBorder="1" applyAlignment="1">
      <alignment vertical="center"/>
    </xf>
    <xf numFmtId="37" fontId="4" fillId="3" borderId="0" xfId="3" applyNumberFormat="1" applyFont="1" applyFill="1" applyBorder="1" applyAlignment="1">
      <alignment vertical="center"/>
    </xf>
    <xf numFmtId="37" fontId="3" fillId="0" borderId="0" xfId="0" applyNumberFormat="1" applyFont="1" applyAlignment="1">
      <alignment vertical="center"/>
    </xf>
    <xf numFmtId="37" fontId="7" fillId="3" borderId="0" xfId="0" applyNumberFormat="1" applyFont="1" applyFill="1" applyAlignment="1">
      <alignment vertical="center"/>
    </xf>
    <xf numFmtId="37" fontId="7" fillId="3" borderId="0" xfId="1" applyNumberFormat="1" applyFont="1" applyFill="1" applyBorder="1" applyAlignment="1">
      <alignment vertical="center"/>
    </xf>
    <xf numFmtId="37" fontId="8" fillId="3" borderId="0" xfId="0" applyNumberFormat="1" applyFont="1" applyFill="1"/>
    <xf numFmtId="37" fontId="8" fillId="3" borderId="0" xfId="1" applyNumberFormat="1" applyFont="1" applyFill="1" applyBorder="1" applyAlignment="1">
      <alignment vertical="center"/>
    </xf>
    <xf numFmtId="37" fontId="8" fillId="3" borderId="0" xfId="1" applyNumberFormat="1" applyFont="1" applyFill="1" applyBorder="1" applyAlignment="1"/>
    <xf numFmtId="37" fontId="3" fillId="3" borderId="0" xfId="1" applyNumberFormat="1" applyFont="1" applyFill="1" applyBorder="1" applyAlignment="1">
      <alignment vertical="center"/>
    </xf>
    <xf numFmtId="37" fontId="4" fillId="3" borderId="0" xfId="1" applyNumberFormat="1" applyFont="1" applyFill="1" applyBorder="1" applyAlignment="1"/>
    <xf numFmtId="37" fontId="4" fillId="3" borderId="0" xfId="0" applyNumberFormat="1" applyFont="1" applyFill="1" applyProtection="1">
      <protection locked="0"/>
    </xf>
    <xf numFmtId="37" fontId="3" fillId="3" borderId="0" xfId="0" applyNumberFormat="1" applyFont="1" applyFill="1" applyAlignment="1">
      <alignment vertical="center" wrapText="1"/>
    </xf>
    <xf numFmtId="37" fontId="4" fillId="3" borderId="0" xfId="2" applyNumberFormat="1" applyFont="1" applyFill="1" applyBorder="1" applyAlignment="1"/>
    <xf numFmtId="37" fontId="4" fillId="3" borderId="0" xfId="5" applyNumberFormat="1" applyFont="1" applyFill="1" applyBorder="1" applyAlignment="1" applyProtection="1"/>
    <xf numFmtId="37" fontId="3" fillId="0" borderId="0" xfId="0" applyNumberFormat="1" applyFont="1"/>
    <xf numFmtId="37" fontId="3" fillId="0" borderId="0" xfId="0" applyNumberFormat="1" applyFont="1" applyAlignment="1">
      <alignment horizontal="right"/>
    </xf>
    <xf numFmtId="37" fontId="4" fillId="0" borderId="0" xfId="0" applyNumberFormat="1" applyFont="1" applyAlignment="1">
      <alignment horizontal="right" vertical="center"/>
    </xf>
    <xf numFmtId="37" fontId="4" fillId="0" borderId="0" xfId="0" applyNumberFormat="1" applyFont="1" applyAlignment="1">
      <alignment vertical="center"/>
    </xf>
    <xf numFmtId="37" fontId="3" fillId="0" borderId="0" xfId="5" applyNumberFormat="1" applyFont="1" applyFill="1" applyBorder="1" applyAlignment="1" applyProtection="1">
      <alignment horizontal="right" vertical="center"/>
    </xf>
    <xf numFmtId="37" fontId="3" fillId="0" borderId="0" xfId="0" applyNumberFormat="1" applyFont="1" applyAlignment="1">
      <alignment horizontal="right" vertical="center"/>
    </xf>
    <xf numFmtId="37" fontId="4" fillId="0" borderId="0" xfId="5" applyNumberFormat="1" applyFont="1" applyFill="1" applyBorder="1" applyAlignment="1" applyProtection="1">
      <alignment horizontal="right" vertical="center"/>
    </xf>
    <xf numFmtId="37" fontId="7" fillId="0" borderId="0" xfId="0" applyNumberFormat="1" applyFont="1"/>
    <xf numFmtId="37" fontId="8" fillId="0" borderId="0" xfId="0" applyNumberFormat="1" applyFont="1"/>
    <xf numFmtId="37" fontId="7" fillId="0" borderId="0" xfId="0" applyNumberFormat="1" applyFont="1" applyAlignment="1">
      <alignment horizontal="left"/>
    </xf>
    <xf numFmtId="37" fontId="4" fillId="0" borderId="0" xfId="0" applyNumberFormat="1" applyFont="1" applyAlignment="1">
      <alignment wrapText="1"/>
    </xf>
    <xf numFmtId="37" fontId="8" fillId="0" borderId="0" xfId="0" applyNumberFormat="1" applyFont="1" applyAlignment="1">
      <alignment wrapText="1"/>
    </xf>
    <xf numFmtId="37" fontId="8" fillId="0" borderId="0" xfId="0" applyNumberFormat="1" applyFont="1" applyAlignment="1">
      <alignment horizontal="left"/>
    </xf>
    <xf numFmtId="37" fontId="4" fillId="0" borderId="0" xfId="0" applyNumberFormat="1" applyFont="1" applyAlignment="1">
      <alignment horizontal="justify" vertical="center" wrapText="1"/>
    </xf>
    <xf numFmtId="37" fontId="4" fillId="0" borderId="0" xfId="0" applyNumberFormat="1" applyFont="1" applyAlignment="1" applyProtection="1">
      <alignment horizontal="right"/>
      <protection locked="0"/>
    </xf>
    <xf numFmtId="37" fontId="3" fillId="0" borderId="0" xfId="0" applyNumberFormat="1" applyFont="1" applyAlignment="1">
      <alignment horizontal="left" vertical="center"/>
    </xf>
    <xf numFmtId="37" fontId="4" fillId="0" borderId="0" xfId="2" applyNumberFormat="1" applyFont="1" applyFill="1" applyBorder="1" applyAlignment="1">
      <alignment horizontal="right"/>
    </xf>
    <xf numFmtId="37" fontId="4" fillId="0" borderId="0" xfId="0" applyNumberFormat="1" applyFont="1" applyProtection="1">
      <protection locked="0"/>
    </xf>
    <xf numFmtId="37" fontId="4" fillId="0" borderId="0" xfId="5" applyNumberFormat="1" applyFont="1" applyFill="1" applyBorder="1" applyAlignment="1" applyProtection="1">
      <alignment horizontal="right"/>
    </xf>
    <xf numFmtId="37" fontId="4" fillId="0" borderId="0" xfId="2" applyNumberFormat="1" applyFont="1" applyFill="1" applyAlignment="1">
      <alignment horizontal="right"/>
    </xf>
    <xf numFmtId="37" fontId="4" fillId="0" borderId="0" xfId="0" applyNumberFormat="1" applyFont="1" applyAlignment="1">
      <alignment horizontal="center" vertical="center"/>
    </xf>
    <xf numFmtId="37" fontId="4" fillId="0" borderId="0" xfId="1" applyNumberFormat="1" applyFont="1" applyAlignment="1">
      <alignment horizontal="center" vertical="center"/>
    </xf>
    <xf numFmtId="37" fontId="9" fillId="3" borderId="0" xfId="0" applyNumberFormat="1" applyFont="1" applyFill="1" applyAlignment="1">
      <alignment horizontal="center" vertical="center"/>
    </xf>
    <xf numFmtId="37" fontId="3" fillId="3" borderId="0" xfId="1" applyNumberFormat="1" applyFont="1" applyFill="1" applyBorder="1" applyAlignment="1">
      <alignment horizontal="center" vertical="center"/>
    </xf>
    <xf numFmtId="37" fontId="4" fillId="3" borderId="0" xfId="3" applyNumberFormat="1" applyFont="1" applyFill="1" applyBorder="1" applyAlignment="1" applyProtection="1">
      <alignment horizontal="center" vertical="center"/>
    </xf>
    <xf numFmtId="37" fontId="4" fillId="3" borderId="0" xfId="3" applyNumberFormat="1" applyFont="1" applyFill="1" applyBorder="1" applyAlignment="1">
      <alignment horizontal="center" vertical="center"/>
    </xf>
    <xf numFmtId="37" fontId="3" fillId="5" borderId="1" xfId="0" applyNumberFormat="1" applyFont="1" applyFill="1" applyBorder="1" applyAlignment="1">
      <alignment horizontal="center" vertical="center"/>
    </xf>
    <xf numFmtId="37" fontId="3" fillId="5" borderId="1" xfId="3" applyNumberFormat="1" applyFont="1" applyFill="1" applyBorder="1" applyAlignment="1" applyProtection="1">
      <alignment vertical="center"/>
    </xf>
    <xf numFmtId="37" fontId="3" fillId="3" borderId="0" xfId="3" applyNumberFormat="1" applyFont="1" applyFill="1" applyBorder="1" applyAlignment="1" applyProtection="1">
      <alignment horizontal="center" vertical="center"/>
    </xf>
    <xf numFmtId="37" fontId="3" fillId="4" borderId="1" xfId="0" applyNumberFormat="1" applyFont="1" applyFill="1" applyBorder="1" applyAlignment="1">
      <alignment horizontal="center" vertical="center"/>
    </xf>
    <xf numFmtId="37" fontId="4" fillId="4" borderId="1" xfId="0" applyNumberFormat="1" applyFont="1" applyFill="1" applyBorder="1" applyAlignment="1">
      <alignment horizontal="center" vertical="center"/>
    </xf>
    <xf numFmtId="37" fontId="8" fillId="3" borderId="0" xfId="0" applyNumberFormat="1" applyFont="1" applyFill="1" applyAlignment="1">
      <alignment horizontal="center" vertical="center"/>
    </xf>
    <xf numFmtId="37" fontId="3" fillId="2" borderId="7" xfId="0" applyNumberFormat="1" applyFont="1" applyFill="1" applyBorder="1" applyAlignment="1">
      <alignment horizontal="center" vertical="center"/>
    </xf>
    <xf numFmtId="37" fontId="3" fillId="2" borderId="2" xfId="0" applyNumberFormat="1" applyFont="1" applyFill="1" applyBorder="1" applyAlignment="1">
      <alignment horizontal="center" vertical="center"/>
    </xf>
    <xf numFmtId="37" fontId="5" fillId="0" borderId="0" xfId="0" applyNumberFormat="1" applyFont="1" applyAlignment="1">
      <alignment horizontal="left" vertical="center"/>
    </xf>
    <xf numFmtId="37" fontId="4" fillId="0" borderId="0" xfId="0" quotePrefix="1" applyNumberFormat="1" applyFont="1" applyAlignment="1">
      <alignment horizontal="left" vertical="center"/>
    </xf>
    <xf numFmtId="0" fontId="6" fillId="3" borderId="0" xfId="0" applyFont="1" applyFill="1"/>
    <xf numFmtId="0" fontId="10" fillId="3" borderId="0" xfId="0" applyFont="1" applyFill="1" applyAlignment="1">
      <alignment horizontal="left"/>
    </xf>
    <xf numFmtId="0" fontId="10" fillId="3" borderId="0" xfId="0" applyFont="1" applyFill="1" applyAlignment="1">
      <alignment horizontal="center"/>
    </xf>
    <xf numFmtId="0" fontId="6" fillId="3" borderId="0" xfId="0" applyFont="1" applyFill="1" applyAlignment="1">
      <alignment horizontal="left"/>
    </xf>
    <xf numFmtId="0" fontId="10" fillId="6" borderId="2" xfId="0" applyFont="1" applyFill="1" applyBorder="1" applyAlignment="1">
      <alignment horizontal="center" vertical="center"/>
    </xf>
    <xf numFmtId="0" fontId="10" fillId="6" borderId="1" xfId="0" applyFont="1" applyFill="1" applyBorder="1" applyAlignment="1">
      <alignment horizontal="center" vertical="center"/>
    </xf>
    <xf numFmtId="0" fontId="4" fillId="3" borderId="0" xfId="0" applyFont="1" applyFill="1" applyAlignment="1">
      <alignment horizontal="left"/>
    </xf>
    <xf numFmtId="0" fontId="3" fillId="3" borderId="0" xfId="0" applyFont="1" applyFill="1" applyAlignment="1">
      <alignment horizontal="center"/>
    </xf>
    <xf numFmtId="9" fontId="3" fillId="3" borderId="0" xfId="5" applyFont="1" applyFill="1" applyBorder="1" applyAlignment="1"/>
    <xf numFmtId="164" fontId="3" fillId="3" borderId="0" xfId="0" applyNumberFormat="1" applyFont="1" applyFill="1" applyAlignment="1">
      <alignment horizontal="left"/>
    </xf>
    <xf numFmtId="164" fontId="3" fillId="3" borderId="0" xfId="0" applyNumberFormat="1" applyFont="1" applyFill="1" applyAlignment="1">
      <alignment horizontal="right"/>
    </xf>
    <xf numFmtId="37" fontId="3" fillId="3" borderId="0" xfId="0" applyNumberFormat="1" applyFont="1" applyFill="1" applyAlignment="1">
      <alignment horizontal="center" vertical="center" wrapText="1"/>
    </xf>
    <xf numFmtId="167" fontId="4" fillId="3" borderId="12" xfId="1" applyNumberFormat="1" applyFont="1" applyFill="1" applyBorder="1" applyAlignment="1" applyProtection="1">
      <alignment horizontal="left"/>
    </xf>
    <xf numFmtId="166" fontId="4" fillId="3" borderId="0" xfId="5" applyNumberFormat="1" applyFont="1" applyFill="1"/>
    <xf numFmtId="167" fontId="4" fillId="3" borderId="0" xfId="1" applyNumberFormat="1" applyFont="1" applyFill="1"/>
    <xf numFmtId="37" fontId="4" fillId="3" borderId="0" xfId="1" applyNumberFormat="1" applyFont="1" applyFill="1" applyAlignment="1">
      <alignment horizontal="center" vertical="center"/>
    </xf>
    <xf numFmtId="37" fontId="4" fillId="3" borderId="0" xfId="5" applyNumberFormat="1" applyFont="1" applyFill="1" applyAlignment="1">
      <alignment horizontal="center" vertical="center"/>
    </xf>
    <xf numFmtId="37" fontId="3" fillId="2" borderId="13" xfId="0" applyNumberFormat="1" applyFont="1" applyFill="1" applyBorder="1" applyAlignment="1">
      <alignment horizontal="center" vertical="center"/>
    </xf>
    <xf numFmtId="37" fontId="3" fillId="4" borderId="13" xfId="0" applyNumberFormat="1" applyFont="1" applyFill="1" applyBorder="1" applyAlignment="1">
      <alignment horizontal="center" vertical="center"/>
    </xf>
    <xf numFmtId="10" fontId="4" fillId="0" borderId="1" xfId="0" applyNumberFormat="1" applyFont="1" applyBorder="1" applyAlignment="1">
      <alignment horizontal="center" vertical="center"/>
    </xf>
    <xf numFmtId="37" fontId="3" fillId="0" borderId="1" xfId="0" applyNumberFormat="1" applyFont="1" applyBorder="1" applyAlignment="1">
      <alignment horizontal="left" vertical="center"/>
    </xf>
    <xf numFmtId="10" fontId="3" fillId="0" borderId="1" xfId="0" applyNumberFormat="1" applyFont="1" applyBorder="1" applyAlignment="1">
      <alignment horizontal="right" vertical="center"/>
    </xf>
    <xf numFmtId="10" fontId="4" fillId="3" borderId="1" xfId="0" applyNumberFormat="1" applyFont="1" applyFill="1" applyBorder="1" applyAlignment="1">
      <alignment horizontal="right" vertical="center"/>
    </xf>
    <xf numFmtId="10" fontId="4" fillId="2" borderId="1" xfId="0" applyNumberFormat="1" applyFont="1" applyFill="1" applyBorder="1" applyAlignment="1" applyProtection="1">
      <alignment horizontal="right" vertical="center"/>
      <protection locked="0"/>
    </xf>
    <xf numFmtId="10" fontId="4" fillId="3" borderId="1" xfId="0" applyNumberFormat="1" applyFont="1" applyFill="1" applyBorder="1" applyAlignment="1" applyProtection="1">
      <alignment horizontal="right" vertical="center"/>
      <protection locked="0"/>
    </xf>
    <xf numFmtId="164" fontId="4" fillId="2" borderId="1" xfId="0" applyNumberFormat="1" applyFont="1" applyFill="1" applyBorder="1" applyAlignment="1">
      <alignment horizontal="right" vertical="center"/>
    </xf>
    <xf numFmtId="0" fontId="4" fillId="3" borderId="0" xfId="0" applyFont="1" applyFill="1" applyAlignment="1">
      <alignment horizontal="right" vertical="center"/>
    </xf>
    <xf numFmtId="9" fontId="4" fillId="3" borderId="0" xfId="5" applyFont="1" applyFill="1" applyBorder="1" applyAlignment="1">
      <alignment vertical="center"/>
    </xf>
    <xf numFmtId="10" fontId="4" fillId="3" borderId="0" xfId="5" applyNumberFormat="1" applyFont="1" applyFill="1" applyBorder="1" applyAlignment="1">
      <alignment vertical="center"/>
    </xf>
    <xf numFmtId="10" fontId="3" fillId="3" borderId="0" xfId="0" applyNumberFormat="1" applyFont="1" applyFill="1" applyAlignment="1">
      <alignment horizontal="right" vertical="center"/>
    </xf>
    <xf numFmtId="167" fontId="4" fillId="3" borderId="0" xfId="1" applyNumberFormat="1" applyFont="1" applyFill="1" applyBorder="1" applyAlignment="1" applyProtection="1">
      <alignment horizontal="left" vertical="center"/>
    </xf>
    <xf numFmtId="10" fontId="4" fillId="3" borderId="0" xfId="0" applyNumberFormat="1" applyFont="1" applyFill="1" applyAlignment="1">
      <alignment horizontal="right" vertical="center"/>
    </xf>
    <xf numFmtId="10" fontId="4" fillId="3" borderId="0" xfId="0" applyNumberFormat="1" applyFont="1" applyFill="1" applyAlignment="1" applyProtection="1">
      <alignment horizontal="right" vertical="center"/>
      <protection locked="0"/>
    </xf>
    <xf numFmtId="1" fontId="4" fillId="3" borderId="0" xfId="1" applyNumberFormat="1" applyFont="1" applyFill="1" applyBorder="1" applyAlignment="1" applyProtection="1">
      <alignment horizontal="right" vertical="center"/>
      <protection locked="0"/>
    </xf>
    <xf numFmtId="167" fontId="3" fillId="3" borderId="0" xfId="1" applyNumberFormat="1" applyFont="1" applyFill="1" applyBorder="1" applyAlignment="1" applyProtection="1">
      <alignment horizontal="center" vertical="center"/>
    </xf>
    <xf numFmtId="0" fontId="4" fillId="0" borderId="1" xfId="0" applyFont="1" applyBorder="1" applyAlignment="1">
      <alignment vertical="center"/>
    </xf>
    <xf numFmtId="37" fontId="3" fillId="2" borderId="1" xfId="0" applyNumberFormat="1" applyFont="1" applyFill="1" applyBorder="1" applyAlignment="1">
      <alignment vertical="center" wrapText="1"/>
    </xf>
    <xf numFmtId="168" fontId="4" fillId="3" borderId="0" xfId="1" applyNumberFormat="1" applyFont="1" applyFill="1" applyAlignment="1">
      <alignment horizontal="center" vertical="center"/>
    </xf>
    <xf numFmtId="168" fontId="3" fillId="4" borderId="13" xfId="0" applyNumberFormat="1" applyFont="1" applyFill="1" applyBorder="1" applyAlignment="1">
      <alignment horizontal="center" vertical="center"/>
    </xf>
    <xf numFmtId="168" fontId="4" fillId="0" borderId="0" xfId="0" applyNumberFormat="1" applyFont="1" applyAlignment="1">
      <alignment horizontal="center" vertical="center"/>
    </xf>
    <xf numFmtId="3" fontId="3" fillId="3" borderId="0" xfId="0" applyNumberFormat="1" applyFont="1" applyFill="1" applyAlignment="1">
      <alignment horizontal="center" vertical="center"/>
    </xf>
    <xf numFmtId="37" fontId="11" fillId="3" borderId="0" xfId="0" applyNumberFormat="1" applyFont="1" applyFill="1" applyAlignment="1">
      <alignment horizontal="center" vertical="center"/>
    </xf>
    <xf numFmtId="37" fontId="12" fillId="3" borderId="0" xfId="0" applyNumberFormat="1" applyFont="1" applyFill="1" applyAlignment="1">
      <alignment horizontal="center" vertical="center"/>
    </xf>
    <xf numFmtId="37" fontId="11" fillId="3" borderId="0" xfId="0" applyNumberFormat="1" applyFont="1" applyFill="1" applyAlignment="1">
      <alignment vertical="center"/>
    </xf>
    <xf numFmtId="37" fontId="11" fillId="3" borderId="0" xfId="0" applyNumberFormat="1" applyFont="1" applyFill="1" applyAlignment="1">
      <alignment horizontal="center" vertical="center" wrapText="1"/>
    </xf>
    <xf numFmtId="37" fontId="11" fillId="3" borderId="0" xfId="0" applyNumberFormat="1" applyFont="1" applyFill="1" applyAlignment="1">
      <alignment horizontal="left" vertical="center"/>
    </xf>
    <xf numFmtId="37" fontId="12" fillId="3" borderId="0" xfId="0" applyNumberFormat="1" applyFont="1" applyFill="1" applyAlignment="1">
      <alignment horizontal="left" vertical="center"/>
    </xf>
    <xf numFmtId="37" fontId="11" fillId="3" borderId="0" xfId="1" applyNumberFormat="1" applyFont="1" applyFill="1" applyAlignment="1">
      <alignment horizontal="center" vertical="center"/>
    </xf>
    <xf numFmtId="37" fontId="4" fillId="0" borderId="0" xfId="0" applyNumberFormat="1" applyFont="1" applyAlignment="1">
      <alignment horizontal="left" vertical="center" wrapText="1"/>
    </xf>
    <xf numFmtId="168" fontId="4" fillId="0" borderId="0" xfId="3" applyNumberFormat="1" applyFont="1" applyFill="1" applyBorder="1" applyAlignment="1" applyProtection="1">
      <alignment horizontal="center" vertical="center"/>
    </xf>
    <xf numFmtId="168" fontId="3" fillId="4" borderId="1" xfId="3" applyNumberFormat="1" applyFont="1" applyFill="1" applyBorder="1" applyAlignment="1" applyProtection="1">
      <alignment horizontal="center" vertical="center"/>
    </xf>
    <xf numFmtId="168" fontId="3" fillId="0" borderId="0" xfId="3" applyNumberFormat="1" applyFont="1" applyFill="1" applyBorder="1" applyAlignment="1" applyProtection="1">
      <alignment horizontal="center" vertical="center"/>
    </xf>
    <xf numFmtId="37" fontId="4" fillId="0" borderId="0" xfId="3" applyNumberFormat="1" applyFont="1" applyFill="1" applyBorder="1" applyAlignment="1" applyProtection="1">
      <alignment horizontal="center" vertical="center"/>
    </xf>
    <xf numFmtId="168" fontId="3" fillId="0" borderId="0" xfId="0" applyNumberFormat="1" applyFont="1" applyAlignment="1">
      <alignment horizontal="center" vertical="center"/>
    </xf>
    <xf numFmtId="168" fontId="3" fillId="4" borderId="1" xfId="3" applyNumberFormat="1" applyFont="1" applyFill="1" applyBorder="1" applyAlignment="1">
      <alignment horizontal="center" vertical="center"/>
    </xf>
    <xf numFmtId="3" fontId="3" fillId="4" borderId="1" xfId="3" applyNumberFormat="1" applyFont="1" applyFill="1" applyBorder="1" applyAlignment="1">
      <alignment vertical="center"/>
    </xf>
    <xf numFmtId="3" fontId="3" fillId="4" borderId="1" xfId="3" applyNumberFormat="1" applyFont="1" applyFill="1" applyBorder="1" applyAlignment="1" applyProtection="1">
      <alignment vertical="center"/>
    </xf>
    <xf numFmtId="0" fontId="4" fillId="3" borderId="2" xfId="0" applyFont="1" applyFill="1" applyBorder="1" applyAlignment="1">
      <alignment vertical="center"/>
    </xf>
    <xf numFmtId="0" fontId="4" fillId="3" borderId="4" xfId="0" applyFont="1" applyFill="1" applyBorder="1" applyAlignment="1">
      <alignment vertical="center"/>
    </xf>
    <xf numFmtId="164" fontId="3" fillId="3" borderId="0" xfId="0" applyNumberFormat="1" applyFont="1" applyFill="1" applyAlignment="1">
      <alignment vertical="center"/>
    </xf>
    <xf numFmtId="38" fontId="3" fillId="3" borderId="0" xfId="3" applyNumberFormat="1" applyFont="1" applyFill="1" applyBorder="1" applyAlignment="1" applyProtection="1">
      <alignment vertical="center"/>
    </xf>
    <xf numFmtId="164" fontId="4" fillId="2" borderId="0" xfId="0" applyNumberFormat="1" applyFont="1" applyFill="1" applyAlignment="1">
      <alignment horizontal="center" vertical="center"/>
    </xf>
    <xf numFmtId="169" fontId="7" fillId="3" borderId="0" xfId="3" applyNumberFormat="1" applyFont="1" applyFill="1" applyBorder="1" applyAlignment="1">
      <alignment vertical="center"/>
    </xf>
    <xf numFmtId="0" fontId="10" fillId="6" borderId="1" xfId="0" applyFont="1" applyFill="1" applyBorder="1" applyAlignment="1">
      <alignment horizontal="center"/>
    </xf>
    <xf numFmtId="0" fontId="10" fillId="6" borderId="1" xfId="0" applyFont="1" applyFill="1" applyBorder="1" applyAlignment="1">
      <alignment horizont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wrapText="1"/>
    </xf>
    <xf numFmtId="0" fontId="3" fillId="2" borderId="1" xfId="0" applyFont="1" applyFill="1" applyBorder="1" applyAlignment="1">
      <alignment horizontal="center"/>
    </xf>
    <xf numFmtId="0" fontId="3" fillId="3" borderId="0" xfId="0" applyFont="1" applyFill="1" applyAlignment="1">
      <alignment horizontal="center"/>
    </xf>
    <xf numFmtId="37" fontId="3" fillId="3" borderId="0" xfId="0" applyNumberFormat="1" applyFont="1" applyFill="1" applyAlignment="1">
      <alignment horizontal="center"/>
    </xf>
    <xf numFmtId="37" fontId="3" fillId="3" borderId="0" xfId="0" quotePrefix="1" applyNumberFormat="1" applyFont="1" applyFill="1" applyAlignment="1">
      <alignment horizontal="center"/>
    </xf>
    <xf numFmtId="37" fontId="3" fillId="3" borderId="0" xfId="0" applyNumberFormat="1" applyFont="1" applyFill="1" applyAlignment="1" applyProtection="1">
      <alignment horizontal="center"/>
      <protection locked="0"/>
    </xf>
    <xf numFmtId="37" fontId="3" fillId="3" borderId="0" xfId="0" quotePrefix="1" applyNumberFormat="1" applyFont="1" applyFill="1" applyAlignment="1" applyProtection="1">
      <alignment horizontal="center"/>
      <protection locked="0"/>
    </xf>
    <xf numFmtId="37" fontId="3" fillId="2" borderId="1" xfId="0" applyNumberFormat="1"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37" fontId="3" fillId="3" borderId="0" xfId="0" applyNumberFormat="1" applyFont="1" applyFill="1" applyAlignment="1">
      <alignment horizontal="center" vertical="center"/>
    </xf>
    <xf numFmtId="37" fontId="3" fillId="2" borderId="13" xfId="0" applyNumberFormat="1" applyFont="1" applyFill="1" applyBorder="1" applyAlignment="1">
      <alignment horizontal="center" vertical="center" wrapText="1"/>
    </xf>
    <xf numFmtId="37" fontId="3" fillId="2" borderId="15" xfId="0" applyNumberFormat="1" applyFont="1" applyFill="1" applyBorder="1" applyAlignment="1">
      <alignment horizontal="center" vertical="center" wrapText="1"/>
    </xf>
    <xf numFmtId="37" fontId="3" fillId="3" borderId="0" xfId="0" quotePrefix="1" applyNumberFormat="1" applyFont="1" applyFill="1" applyAlignment="1">
      <alignment horizontal="center" vertical="center"/>
    </xf>
    <xf numFmtId="37" fontId="3" fillId="2" borderId="1" xfId="0" applyNumberFormat="1" applyFont="1" applyFill="1" applyBorder="1" applyAlignment="1">
      <alignment horizontal="center" vertical="center" wrapText="1"/>
    </xf>
    <xf numFmtId="37" fontId="3" fillId="2" borderId="14" xfId="0" applyNumberFormat="1" applyFont="1" applyFill="1" applyBorder="1" applyAlignment="1">
      <alignment horizontal="center" vertical="center" wrapText="1"/>
    </xf>
    <xf numFmtId="37" fontId="4" fillId="2" borderId="1" xfId="0" applyNumberFormat="1" applyFont="1" applyFill="1" applyBorder="1" applyAlignment="1">
      <alignment horizontal="center" vertical="center" textRotation="1"/>
    </xf>
    <xf numFmtId="37" fontId="3" fillId="3" borderId="0" xfId="0" applyNumberFormat="1" applyFont="1" applyFill="1" applyAlignment="1" applyProtection="1">
      <alignment horizontal="center" vertical="center"/>
      <protection locked="0"/>
    </xf>
    <xf numFmtId="37" fontId="3" fillId="3" borderId="0" xfId="0" quotePrefix="1" applyNumberFormat="1" applyFont="1" applyFill="1" applyAlignment="1" applyProtection="1">
      <alignment horizontal="center" vertical="center"/>
      <protection locked="0"/>
    </xf>
    <xf numFmtId="0" fontId="3" fillId="2" borderId="13" xfId="0" applyFont="1" applyFill="1" applyBorder="1" applyAlignment="1">
      <alignment horizontal="center" vertical="center" wrapText="1"/>
    </xf>
    <xf numFmtId="0" fontId="3" fillId="2" borderId="15" xfId="0" applyFont="1" applyFill="1" applyBorder="1" applyAlignment="1">
      <alignment horizontal="center" vertical="center" wrapText="1"/>
    </xf>
    <xf numFmtId="37" fontId="3" fillId="0" borderId="0" xfId="0" applyNumberFormat="1" applyFont="1" applyAlignment="1">
      <alignment horizontal="center" vertical="center"/>
    </xf>
    <xf numFmtId="37" fontId="3" fillId="2" borderId="13" xfId="0" applyNumberFormat="1" applyFont="1" applyFill="1" applyBorder="1" applyAlignment="1">
      <alignment horizontal="center" vertical="center"/>
    </xf>
    <xf numFmtId="37" fontId="3" fillId="2" borderId="14" xfId="0" applyNumberFormat="1" applyFont="1" applyFill="1" applyBorder="1" applyAlignment="1">
      <alignment horizontal="center" vertical="center"/>
    </xf>
    <xf numFmtId="37" fontId="3" fillId="2" borderId="15" xfId="0" applyNumberFormat="1" applyFont="1" applyFill="1" applyBorder="1" applyAlignment="1">
      <alignment horizontal="center" vertical="center"/>
    </xf>
    <xf numFmtId="37" fontId="3" fillId="0" borderId="0" xfId="0" quotePrefix="1" applyNumberFormat="1" applyFont="1" applyAlignment="1">
      <alignment horizontal="center" vertical="center"/>
    </xf>
    <xf numFmtId="37" fontId="3" fillId="0" borderId="0" xfId="0" applyNumberFormat="1" applyFont="1" applyAlignment="1" applyProtection="1">
      <alignment horizontal="center" vertical="center"/>
      <protection locked="0"/>
    </xf>
    <xf numFmtId="37" fontId="3" fillId="0" borderId="0" xfId="0" quotePrefix="1" applyNumberFormat="1" applyFont="1" applyAlignment="1" applyProtection="1">
      <alignment horizontal="center" vertical="center"/>
      <protection locked="0"/>
    </xf>
    <xf numFmtId="37" fontId="4" fillId="0" borderId="0" xfId="0" applyNumberFormat="1" applyFont="1" applyAlignment="1">
      <alignment horizontal="left" vertical="center" wrapText="1"/>
    </xf>
    <xf numFmtId="37" fontId="4" fillId="2" borderId="2" xfId="0" applyNumberFormat="1" applyFont="1" applyFill="1" applyBorder="1" applyAlignment="1">
      <alignment horizontal="center" vertical="center" textRotation="1"/>
    </xf>
    <xf numFmtId="37" fontId="12" fillId="2" borderId="1" xfId="0" applyNumberFormat="1" applyFont="1" applyFill="1" applyBorder="1" applyAlignment="1">
      <alignment horizontal="center" vertical="center" wrapText="1"/>
    </xf>
    <xf numFmtId="37" fontId="3" fillId="2" borderId="1" xfId="0" applyNumberFormat="1" applyFont="1" applyFill="1" applyBorder="1" applyAlignment="1">
      <alignment horizontal="left" vertical="center"/>
    </xf>
    <xf numFmtId="37" fontId="4" fillId="2" borderId="1" xfId="0" applyNumberFormat="1" applyFont="1" applyFill="1" applyBorder="1" applyAlignment="1">
      <alignment horizontal="left" vertical="center" textRotation="1"/>
    </xf>
    <xf numFmtId="0" fontId="3" fillId="2" borderId="11" xfId="0" applyFont="1" applyFill="1" applyBorder="1" applyAlignment="1">
      <alignment horizontal="left"/>
    </xf>
    <xf numFmtId="0" fontId="3" fillId="2" borderId="0" xfId="0" applyFont="1" applyFill="1" applyAlignment="1">
      <alignment horizontal="left"/>
    </xf>
    <xf numFmtId="0" fontId="2" fillId="0" borderId="0" xfId="0" applyFont="1"/>
    <xf numFmtId="0" fontId="0" fillId="0" borderId="0" xfId="0" applyAlignment="1">
      <alignment horizontal="left"/>
    </xf>
    <xf numFmtId="0" fontId="13" fillId="7" borderId="16" xfId="6" applyFill="1" applyBorder="1" applyAlignment="1" applyProtection="1"/>
    <xf numFmtId="0" fontId="14" fillId="7" borderId="17" xfId="0" applyFont="1" applyFill="1" applyBorder="1" applyAlignment="1">
      <alignment horizontal="left"/>
    </xf>
    <xf numFmtId="0" fontId="15" fillId="8" borderId="18" xfId="0" applyFont="1" applyFill="1" applyBorder="1" applyAlignment="1">
      <alignment horizontal="center"/>
    </xf>
    <xf numFmtId="0" fontId="16" fillId="8" borderId="18" xfId="0" applyFont="1" applyFill="1" applyBorder="1" applyAlignment="1">
      <alignment horizontal="center"/>
    </xf>
    <xf numFmtId="0" fontId="16" fillId="0" borderId="0" xfId="0" applyFont="1" applyAlignment="1">
      <alignment horizontal="center"/>
    </xf>
    <xf numFmtId="0" fontId="16" fillId="0" borderId="0" xfId="0" applyFont="1" applyAlignment="1">
      <alignment horizontal="left"/>
    </xf>
    <xf numFmtId="0" fontId="17" fillId="7" borderId="19" xfId="0" applyFont="1" applyFill="1" applyBorder="1" applyAlignment="1">
      <alignment horizontal="center"/>
    </xf>
    <xf numFmtId="0" fontId="17" fillId="7" borderId="20" xfId="0" applyFont="1" applyFill="1" applyBorder="1" applyAlignment="1">
      <alignment horizontal="center"/>
    </xf>
    <xf numFmtId="0" fontId="17" fillId="5" borderId="19" xfId="0" applyFont="1" applyFill="1" applyBorder="1" applyAlignment="1">
      <alignment horizontal="center"/>
    </xf>
    <xf numFmtId="0" fontId="17" fillId="5" borderId="20" xfId="0" applyFont="1" applyFill="1" applyBorder="1" applyAlignment="1">
      <alignment horizontal="center"/>
    </xf>
    <xf numFmtId="37" fontId="3" fillId="4" borderId="13" xfId="0" applyNumberFormat="1" applyFont="1" applyFill="1" applyBorder="1" applyAlignment="1">
      <alignment vertical="center"/>
    </xf>
    <xf numFmtId="37" fontId="4" fillId="3" borderId="1" xfId="0" applyNumberFormat="1" applyFont="1" applyFill="1" applyBorder="1" applyAlignment="1">
      <alignment horizontal="center" vertical="center"/>
    </xf>
    <xf numFmtId="37" fontId="4" fillId="3" borderId="1" xfId="1" applyNumberFormat="1" applyFont="1" applyFill="1" applyBorder="1" applyAlignment="1">
      <alignment horizontal="center" vertical="center"/>
    </xf>
    <xf numFmtId="168" fontId="4" fillId="3" borderId="1" xfId="3" applyNumberFormat="1" applyFont="1" applyFill="1" applyBorder="1" applyAlignment="1" applyProtection="1">
      <alignment horizontal="center" vertical="center"/>
    </xf>
    <xf numFmtId="37" fontId="4" fillId="3" borderId="1" xfId="3" applyNumberFormat="1" applyFont="1" applyFill="1" applyBorder="1" applyAlignment="1">
      <alignment horizontal="center" vertical="center"/>
    </xf>
    <xf numFmtId="169" fontId="4" fillId="3" borderId="1" xfId="3" applyNumberFormat="1" applyFont="1" applyFill="1" applyBorder="1" applyAlignment="1">
      <alignment horizontal="center" vertical="center"/>
    </xf>
    <xf numFmtId="169" fontId="4" fillId="3" borderId="1" xfId="3" applyNumberFormat="1" applyFont="1" applyFill="1" applyBorder="1" applyAlignment="1" applyProtection="1">
      <alignment horizontal="center" vertical="center"/>
    </xf>
    <xf numFmtId="37" fontId="3" fillId="4" borderId="1" xfId="3" applyNumberFormat="1" applyFont="1" applyFill="1" applyBorder="1" applyAlignment="1">
      <alignment horizontal="center" vertical="center"/>
    </xf>
    <xf numFmtId="169" fontId="3" fillId="4" borderId="1" xfId="3" applyNumberFormat="1" applyFont="1" applyFill="1" applyBorder="1" applyAlignment="1">
      <alignment horizontal="center" vertical="center"/>
    </xf>
    <xf numFmtId="37" fontId="4" fillId="3" borderId="1" xfId="3" applyNumberFormat="1" applyFont="1" applyFill="1" applyBorder="1" applyAlignment="1" applyProtection="1">
      <alignment horizontal="center" vertical="center"/>
    </xf>
    <xf numFmtId="168" fontId="4" fillId="3" borderId="1" xfId="0" applyNumberFormat="1" applyFont="1" applyFill="1" applyBorder="1" applyAlignment="1">
      <alignment horizontal="center" vertical="center"/>
    </xf>
    <xf numFmtId="37" fontId="3" fillId="4" borderId="1" xfId="3" applyNumberFormat="1" applyFont="1" applyFill="1" applyBorder="1" applyAlignment="1" applyProtection="1">
      <alignment horizontal="center" vertical="center"/>
    </xf>
    <xf numFmtId="169" fontId="3" fillId="4" borderId="1" xfId="3" applyNumberFormat="1" applyFont="1" applyFill="1" applyBorder="1" applyAlignment="1" applyProtection="1">
      <alignment horizontal="center" vertical="center"/>
    </xf>
    <xf numFmtId="169" fontId="3" fillId="0" borderId="1" xfId="3" applyNumberFormat="1" applyFont="1" applyFill="1" applyBorder="1" applyAlignment="1" applyProtection="1">
      <alignment horizontal="center" vertical="center"/>
    </xf>
    <xf numFmtId="37" fontId="4" fillId="3" borderId="1" xfId="4" applyNumberFormat="1" applyFont="1" applyFill="1" applyBorder="1" applyAlignment="1">
      <alignment horizontal="center" vertical="center"/>
    </xf>
    <xf numFmtId="168" fontId="3" fillId="0" borderId="1" xfId="0" applyNumberFormat="1" applyFont="1" applyBorder="1" applyAlignment="1">
      <alignment horizontal="center" vertical="center"/>
    </xf>
    <xf numFmtId="37" fontId="3" fillId="0" borderId="1" xfId="0" applyNumberFormat="1" applyFont="1" applyBorder="1" applyAlignment="1">
      <alignment horizontal="center" vertical="center"/>
    </xf>
    <xf numFmtId="37" fontId="4" fillId="3" borderId="0" xfId="0" applyNumberFormat="1" applyFont="1" applyFill="1" applyBorder="1" applyAlignment="1">
      <alignment horizontal="center" vertical="center"/>
    </xf>
    <xf numFmtId="37" fontId="4" fillId="3" borderId="0" xfId="1" applyNumberFormat="1" applyFont="1" applyFill="1" applyBorder="1" applyAlignment="1">
      <alignment horizontal="center" vertical="center"/>
    </xf>
    <xf numFmtId="37" fontId="4" fillId="3" borderId="5" xfId="0" applyNumberFormat="1" applyFont="1" applyFill="1" applyBorder="1" applyAlignment="1">
      <alignment horizontal="center" vertical="center"/>
    </xf>
    <xf numFmtId="37" fontId="4" fillId="3" borderId="10" xfId="0" applyNumberFormat="1" applyFont="1" applyFill="1" applyBorder="1" applyAlignment="1">
      <alignment horizontal="center" vertical="center"/>
    </xf>
    <xf numFmtId="37" fontId="3" fillId="3" borderId="0" xfId="0" applyNumberFormat="1" applyFont="1" applyFill="1" applyAlignment="1">
      <alignment horizontal="left" vertical="center" wrapText="1"/>
    </xf>
    <xf numFmtId="37" fontId="4" fillId="0" borderId="1" xfId="0" quotePrefix="1" applyNumberFormat="1" applyFont="1" applyBorder="1" applyAlignment="1">
      <alignment horizontal="left" vertical="center" wrapText="1"/>
    </xf>
    <xf numFmtId="37" fontId="4" fillId="0" borderId="1" xfId="0" applyNumberFormat="1" applyFont="1" applyBorder="1" applyAlignment="1">
      <alignment horizontal="center" vertical="center"/>
    </xf>
  </cellXfs>
  <cellStyles count="7">
    <cellStyle name="Hipervínculo" xfId="6" builtinId="8"/>
    <cellStyle name="Millares" xfId="1" builtinId="3"/>
    <cellStyle name="Millares [0]" xfId="2" builtinId="6"/>
    <cellStyle name="Moneda" xfId="3" builtinId="4"/>
    <cellStyle name="Normal" xfId="0" builtinId="0"/>
    <cellStyle name="Normal 2" xfId="4" xr:uid="{00000000-0005-0000-0000-000004000000}"/>
    <cellStyle name="Porcentaje" xfId="5" builtinId="5"/>
  </cellStyles>
  <dxfs count="1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685BA6F-DAFE-4874-9C69-5C69826CBDA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211FC14F-B648-4035-8812-7FCC436FEFF2}">
      <dgm:prSet phldrT="[Texto]"/>
      <dgm:spPr/>
      <dgm:t>
        <a:bodyPr/>
        <a:lstStyle/>
        <a:p>
          <a:r>
            <a:rPr lang="es-CO"/>
            <a:t>VOLVER</a:t>
          </a:r>
        </a:p>
      </dgm:t>
    </dgm:pt>
    <dgm:pt modelId="{35F33D95-21DA-4F4C-8602-6C60B57F94AE}" type="parTrans" cxnId="{BC7EFFA9-AFFA-42C7-A8B3-82291B32E8D1}">
      <dgm:prSet/>
      <dgm:spPr/>
      <dgm:t>
        <a:bodyPr/>
        <a:lstStyle/>
        <a:p>
          <a:endParaRPr lang="es-CO"/>
        </a:p>
      </dgm:t>
    </dgm:pt>
    <dgm:pt modelId="{667E311A-7AF4-47CF-A7C8-A61FB13D290A}" type="sibTrans" cxnId="{BC7EFFA9-AFFA-42C7-A8B3-82291B32E8D1}">
      <dgm:prSet/>
      <dgm:spPr/>
      <dgm:t>
        <a:bodyPr/>
        <a:lstStyle/>
        <a:p>
          <a:endParaRPr lang="es-CO"/>
        </a:p>
      </dgm:t>
    </dgm:pt>
    <dgm:pt modelId="{062376AB-E37A-4B2C-ADA7-EC1DE35F07FC}">
      <dgm:prSet phldrT="[Texto]"/>
      <dgm:spPr/>
      <dgm:t>
        <a:bodyPr/>
        <a:lstStyle/>
        <a:p>
          <a:r>
            <a:rPr lang="es-CO"/>
            <a:t>INDICE</a:t>
          </a:r>
        </a:p>
      </dgm:t>
    </dgm:pt>
    <dgm:pt modelId="{08BA95D8-E4C1-4C5E-9380-FF94CDACA0F5}" type="parTrans" cxnId="{8373DC84-E61D-48A6-B58E-C2A43E7073E3}">
      <dgm:prSet/>
      <dgm:spPr/>
      <dgm:t>
        <a:bodyPr/>
        <a:lstStyle/>
        <a:p>
          <a:endParaRPr lang="es-CO"/>
        </a:p>
      </dgm:t>
    </dgm:pt>
    <dgm:pt modelId="{1944C0A2-43B2-42ED-84BD-3EB3DA181A98}" type="sibTrans" cxnId="{8373DC84-E61D-48A6-B58E-C2A43E7073E3}">
      <dgm:prSet/>
      <dgm:spPr/>
      <dgm:t>
        <a:bodyPr/>
        <a:lstStyle/>
        <a:p>
          <a:endParaRPr lang="es-CO"/>
        </a:p>
      </dgm:t>
    </dgm:pt>
    <dgm:pt modelId="{7108008D-38EA-49F2-93CF-F41FDD404E70}" type="pres">
      <dgm:prSet presAssocID="{8685BA6F-DAFE-4874-9C69-5C69826CBDAA}" presName="compositeShape" presStyleCnt="0">
        <dgm:presLayoutVars>
          <dgm:chMax val="2"/>
          <dgm:dir/>
          <dgm:resizeHandles val="exact"/>
        </dgm:presLayoutVars>
      </dgm:prSet>
      <dgm:spPr/>
    </dgm:pt>
    <dgm:pt modelId="{62883BE5-C6D4-410F-8829-266377DDCA76}" type="pres">
      <dgm:prSet presAssocID="{8685BA6F-DAFE-4874-9C69-5C69826CBDAA}" presName="ribbon" presStyleLbl="node1" presStyleIdx="0" presStyleCnt="1"/>
      <dgm:spPr/>
    </dgm:pt>
    <dgm:pt modelId="{DE57DE37-015C-4F01-93F1-98FE65578ED8}" type="pres">
      <dgm:prSet presAssocID="{8685BA6F-DAFE-4874-9C69-5C69826CBDAA}" presName="leftArrowText" presStyleLbl="node1" presStyleIdx="0" presStyleCnt="1">
        <dgm:presLayoutVars>
          <dgm:chMax val="0"/>
          <dgm:bulletEnabled val="1"/>
        </dgm:presLayoutVars>
      </dgm:prSet>
      <dgm:spPr/>
    </dgm:pt>
    <dgm:pt modelId="{1594C05D-8FD1-4965-8CBE-15BD7F2C19FA}" type="pres">
      <dgm:prSet presAssocID="{8685BA6F-DAFE-4874-9C69-5C69826CBDAA}" presName="rightArrowText" presStyleLbl="node1" presStyleIdx="0" presStyleCnt="1">
        <dgm:presLayoutVars>
          <dgm:chMax val="0"/>
          <dgm:bulletEnabled val="1"/>
        </dgm:presLayoutVars>
      </dgm:prSet>
      <dgm:spPr/>
    </dgm:pt>
  </dgm:ptLst>
  <dgm:cxnLst>
    <dgm:cxn modelId="{5C16721E-4BD8-4AFA-A840-B8CD05C785E4}" type="presOf" srcId="{8685BA6F-DAFE-4874-9C69-5C69826CBDAA}" destId="{7108008D-38EA-49F2-93CF-F41FDD404E70}" srcOrd="0" destOrd="0" presId="urn:microsoft.com/office/officeart/2005/8/layout/arrow6"/>
    <dgm:cxn modelId="{D19ADB6C-046D-44B9-8550-D6B008969AF5}" type="presOf" srcId="{062376AB-E37A-4B2C-ADA7-EC1DE35F07FC}" destId="{1594C05D-8FD1-4965-8CBE-15BD7F2C19FA}" srcOrd="0" destOrd="0" presId="urn:microsoft.com/office/officeart/2005/8/layout/arrow6"/>
    <dgm:cxn modelId="{60B85153-A8FF-462C-A4B2-70D244577749}" type="presOf" srcId="{211FC14F-B648-4035-8812-7FCC436FEFF2}" destId="{DE57DE37-015C-4F01-93F1-98FE65578ED8}" srcOrd="0" destOrd="0" presId="urn:microsoft.com/office/officeart/2005/8/layout/arrow6"/>
    <dgm:cxn modelId="{8373DC84-E61D-48A6-B58E-C2A43E7073E3}" srcId="{8685BA6F-DAFE-4874-9C69-5C69826CBDAA}" destId="{062376AB-E37A-4B2C-ADA7-EC1DE35F07FC}" srcOrd="1" destOrd="0" parTransId="{08BA95D8-E4C1-4C5E-9380-FF94CDACA0F5}" sibTransId="{1944C0A2-43B2-42ED-84BD-3EB3DA181A98}"/>
    <dgm:cxn modelId="{BC7EFFA9-AFFA-42C7-A8B3-82291B32E8D1}" srcId="{8685BA6F-DAFE-4874-9C69-5C69826CBDAA}" destId="{211FC14F-B648-4035-8812-7FCC436FEFF2}" srcOrd="0" destOrd="0" parTransId="{35F33D95-21DA-4F4C-8602-6C60B57F94AE}" sibTransId="{667E311A-7AF4-47CF-A7C8-A61FB13D290A}"/>
    <dgm:cxn modelId="{608A0D3D-A7E9-420F-AE92-FE97B8137FFA}" type="presParOf" srcId="{7108008D-38EA-49F2-93CF-F41FDD404E70}" destId="{62883BE5-C6D4-410F-8829-266377DDCA76}" srcOrd="0" destOrd="0" presId="urn:microsoft.com/office/officeart/2005/8/layout/arrow6"/>
    <dgm:cxn modelId="{D8AED543-2F81-4DCF-A3E5-8FBA31091604}" type="presParOf" srcId="{7108008D-38EA-49F2-93CF-F41FDD404E70}" destId="{DE57DE37-015C-4F01-93F1-98FE65578ED8}" srcOrd="1" destOrd="0" presId="urn:microsoft.com/office/officeart/2005/8/layout/arrow6"/>
    <dgm:cxn modelId="{84FFFA0F-EAB2-451F-8B63-DE4CA1E51D13}" type="presParOf" srcId="{7108008D-38EA-49F2-93CF-F41FDD404E70}" destId="{1594C05D-8FD1-4965-8CBE-15BD7F2C19FA}"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2883BE5-C6D4-410F-8829-266377DDCA76}">
      <dsp:nvSpPr>
        <dsp:cNvPr id="0" name=""/>
        <dsp:cNvSpPr/>
      </dsp:nvSpPr>
      <dsp:spPr>
        <a:xfrm>
          <a:off x="0" y="415762"/>
          <a:ext cx="1000084" cy="400033"/>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DE57DE37-015C-4F01-93F1-98FE65578ED8}">
      <dsp:nvSpPr>
        <dsp:cNvPr id="0" name=""/>
        <dsp:cNvSpPr/>
      </dsp:nvSpPr>
      <dsp:spPr>
        <a:xfrm>
          <a:off x="120010" y="485768"/>
          <a:ext cx="330027" cy="196016"/>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24892" rIns="0" bIns="26670" numCol="1" spcCol="1270" anchor="ctr" anchorCtr="0">
          <a:noAutofit/>
        </a:bodyPr>
        <a:lstStyle/>
        <a:p>
          <a:pPr marL="0" lvl="0" indent="0" algn="ctr" defTabSz="311150">
            <a:lnSpc>
              <a:spcPct val="90000"/>
            </a:lnSpc>
            <a:spcBef>
              <a:spcPct val="0"/>
            </a:spcBef>
            <a:spcAft>
              <a:spcPct val="35000"/>
            </a:spcAft>
            <a:buNone/>
          </a:pPr>
          <a:r>
            <a:rPr lang="es-CO" sz="700" kern="1200"/>
            <a:t>VOLVER</a:t>
          </a:r>
        </a:p>
      </dsp:txBody>
      <dsp:txXfrm>
        <a:off x="120010" y="485768"/>
        <a:ext cx="330027" cy="196016"/>
      </dsp:txXfrm>
    </dsp:sp>
    <dsp:sp modelId="{1594C05D-8FD1-4965-8CBE-15BD7F2C19FA}">
      <dsp:nvSpPr>
        <dsp:cNvPr id="0" name=""/>
        <dsp:cNvSpPr/>
      </dsp:nvSpPr>
      <dsp:spPr>
        <a:xfrm>
          <a:off x="500042" y="549773"/>
          <a:ext cx="390032" cy="196016"/>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24892" rIns="0" bIns="26670" numCol="1" spcCol="1270" anchor="ctr" anchorCtr="0">
          <a:noAutofit/>
        </a:bodyPr>
        <a:lstStyle/>
        <a:p>
          <a:pPr marL="0" lvl="0" indent="0" algn="ctr" defTabSz="311150">
            <a:lnSpc>
              <a:spcPct val="90000"/>
            </a:lnSpc>
            <a:spcBef>
              <a:spcPct val="0"/>
            </a:spcBef>
            <a:spcAft>
              <a:spcPct val="35000"/>
            </a:spcAft>
            <a:buNone/>
          </a:pPr>
          <a:r>
            <a:rPr lang="es-CO" sz="700" kern="1200"/>
            <a:t>INDICE</a:t>
          </a:r>
        </a:p>
      </dsp:txBody>
      <dsp:txXfrm>
        <a:off x="500042" y="549773"/>
        <a:ext cx="390032" cy="196016"/>
      </dsp:txXfrm>
    </dsp:sp>
  </dsp:spTree>
</dsp:drawing>
</file>

<file path=xl/diagrams/layout1.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hyperlink" Target="#INDICE!A1"/><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drawing1.xml><?xml version="1.0" encoding="utf-8"?>
<xdr:wsDr xmlns:xdr="http://schemas.openxmlformats.org/drawingml/2006/spreadsheetDrawing" xmlns:a="http://schemas.openxmlformats.org/drawingml/2006/main">
  <xdr:twoCellAnchor>
    <xdr:from>
      <xdr:col>15</xdr:col>
      <xdr:colOff>149225</xdr:colOff>
      <xdr:row>1</xdr:row>
      <xdr:rowOff>268605</xdr:rowOff>
    </xdr:from>
    <xdr:to>
      <xdr:col>16</xdr:col>
      <xdr:colOff>596859</xdr:colOff>
      <xdr:row>5</xdr:row>
      <xdr:rowOff>90464</xdr:rowOff>
    </xdr:to>
    <xdr:graphicFrame macro="">
      <xdr:nvGraphicFramePr>
        <xdr:cNvPr id="5" name="Diagrama 4">
          <a:hlinkClick xmlns:r="http://schemas.openxmlformats.org/officeDocument/2006/relationships" r:id="rId1"/>
          <a:extLst>
            <a:ext uri="{FF2B5EF4-FFF2-40B4-BE49-F238E27FC236}">
              <a16:creationId xmlns:a16="http://schemas.microsoft.com/office/drawing/2014/main" id="{03C4B36E-6A06-15D9-6A70-5F2A19FA0CC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4"/>
  <sheetViews>
    <sheetView zoomScaleNormal="100" zoomScaleSheetLayoutView="80" workbookViewId="0">
      <selection activeCell="E9" sqref="E9"/>
    </sheetView>
  </sheetViews>
  <sheetFormatPr baseColWidth="10" defaultColWidth="11.42578125" defaultRowHeight="12" x14ac:dyDescent="0.2"/>
  <cols>
    <col min="1" max="1" width="15.5703125" style="165" customWidth="1"/>
    <col min="2" max="2" width="105.42578125" style="162" customWidth="1"/>
    <col min="3" max="3" width="15" style="162" customWidth="1"/>
    <col min="4" max="5" width="12.7109375" style="162" bestFit="1" customWidth="1"/>
    <col min="6" max="6" width="13.28515625" style="162" customWidth="1"/>
    <col min="7" max="7" width="11.140625" style="162" bestFit="1" customWidth="1"/>
    <col min="8" max="11" width="11.7109375" style="162" bestFit="1" customWidth="1"/>
    <col min="12" max="12" width="12.7109375" style="162" bestFit="1" customWidth="1"/>
    <col min="13" max="13" width="11.7109375" style="162" bestFit="1" customWidth="1"/>
    <col min="14" max="15" width="12.7109375" style="162" bestFit="1" customWidth="1"/>
    <col min="16" max="17" width="11.7109375" style="162" bestFit="1" customWidth="1"/>
    <col min="18" max="16384" width="11.42578125" style="162"/>
  </cols>
  <sheetData>
    <row r="2" spans="1:2" ht="20.25" customHeight="1" x14ac:dyDescent="0.2">
      <c r="A2" s="226" t="s">
        <v>0</v>
      </c>
      <c r="B2" s="225"/>
    </row>
    <row r="3" spans="1:2" x14ac:dyDescent="0.2">
      <c r="A3" s="225" t="s">
        <v>1</v>
      </c>
      <c r="B3" s="225"/>
    </row>
    <row r="4" spans="1:2" ht="16.5" customHeight="1" x14ac:dyDescent="0.2">
      <c r="A4" s="163"/>
      <c r="B4" s="164"/>
    </row>
    <row r="5" spans="1:2" ht="27.75" customHeight="1" x14ac:dyDescent="0.2">
      <c r="A5" s="166" t="s">
        <v>2</v>
      </c>
      <c r="B5" s="167" t="s">
        <v>3</v>
      </c>
    </row>
    <row r="6" spans="1:2" ht="24.95" customHeight="1" x14ac:dyDescent="0.2">
      <c r="A6" s="73" t="s">
        <v>4</v>
      </c>
      <c r="B6" s="74" t="s">
        <v>5</v>
      </c>
    </row>
    <row r="7" spans="1:2" ht="24.95" customHeight="1" x14ac:dyDescent="0.2">
      <c r="A7" s="75" t="s">
        <v>6</v>
      </c>
      <c r="B7" s="76" t="s">
        <v>7</v>
      </c>
    </row>
    <row r="8" spans="1:2" ht="24.95" customHeight="1" x14ac:dyDescent="0.2">
      <c r="A8" s="75" t="s">
        <v>8</v>
      </c>
      <c r="B8" s="72" t="s">
        <v>9</v>
      </c>
    </row>
    <row r="9" spans="1:2" ht="24.95" customHeight="1" x14ac:dyDescent="0.2">
      <c r="A9" s="75" t="s">
        <v>10</v>
      </c>
      <c r="B9" s="76" t="s">
        <v>11</v>
      </c>
    </row>
    <row r="10" spans="1:2" ht="24.95" customHeight="1" x14ac:dyDescent="0.2">
      <c r="A10" s="75" t="s">
        <v>12</v>
      </c>
      <c r="B10" s="76" t="s">
        <v>13</v>
      </c>
    </row>
    <row r="11" spans="1:2" ht="24.95" customHeight="1" x14ac:dyDescent="0.2">
      <c r="A11" s="75" t="s">
        <v>14</v>
      </c>
      <c r="B11" s="76" t="s">
        <v>15</v>
      </c>
    </row>
    <row r="12" spans="1:2" ht="24.95" customHeight="1" x14ac:dyDescent="0.2">
      <c r="A12" s="75" t="s">
        <v>16</v>
      </c>
      <c r="B12" s="76" t="s">
        <v>17</v>
      </c>
    </row>
    <row r="13" spans="1:2" ht="24.95" customHeight="1" x14ac:dyDescent="0.2">
      <c r="A13" s="75" t="s">
        <v>18</v>
      </c>
      <c r="B13" s="76" t="s">
        <v>19</v>
      </c>
    </row>
    <row r="14" spans="1:2" ht="24.95" customHeight="1" x14ac:dyDescent="0.2">
      <c r="A14" s="77" t="s">
        <v>20</v>
      </c>
      <c r="B14" s="78" t="s">
        <v>21</v>
      </c>
    </row>
  </sheetData>
  <mergeCells count="2">
    <mergeCell ref="A3:B3"/>
    <mergeCell ref="A2:B2"/>
  </mergeCells>
  <pageMargins left="0.7" right="0.7" top="0.75" bottom="0.75" header="0.3" footer="0.3"/>
  <pageSetup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249977111117893"/>
    <pageSetUpPr fitToPage="1"/>
  </sheetPr>
  <dimension ref="A1:CM201"/>
  <sheetViews>
    <sheetView zoomScaleNormal="100" workbookViewId="0">
      <pane xSplit="1" ySplit="5" topLeftCell="B6" activePane="bottomRight" state="frozen"/>
      <selection pane="topRight" activeCell="B1" sqref="B1"/>
      <selection pane="bottomLeft" activeCell="A7" sqref="A7"/>
      <selection pane="bottomRight" activeCell="CB4" sqref="CB4:CC4"/>
    </sheetView>
  </sheetViews>
  <sheetFormatPr baseColWidth="10" defaultColWidth="7.7109375" defaultRowHeight="12" x14ac:dyDescent="0.2"/>
  <cols>
    <col min="1" max="1" width="44.42578125" style="87" customWidth="1"/>
    <col min="2" max="9" width="20.28515625" style="146" customWidth="1"/>
    <col min="10" max="11" width="20.28515625" style="147" customWidth="1"/>
    <col min="12" max="19" width="20.28515625" style="146" customWidth="1"/>
    <col min="20" max="25" width="20.28515625" style="22" customWidth="1"/>
    <col min="26" max="35" width="20.28515625" style="146" customWidth="1"/>
    <col min="36" max="37" width="20.28515625" style="22" customWidth="1"/>
    <col min="38" max="81" width="20.28515625" style="146" customWidth="1"/>
    <col min="82" max="16384" width="7.7109375" style="22"/>
  </cols>
  <sheetData>
    <row r="1" spans="1:81" ht="24" customHeight="1" x14ac:dyDescent="0.2">
      <c r="A1" s="10" t="s">
        <v>125</v>
      </c>
      <c r="B1" s="22"/>
      <c r="C1" s="22"/>
      <c r="D1" s="22"/>
      <c r="E1" s="22"/>
      <c r="F1" s="22"/>
      <c r="G1" s="22"/>
      <c r="H1" s="22"/>
      <c r="I1" s="22"/>
      <c r="J1" s="177"/>
      <c r="K1" s="177"/>
      <c r="L1" s="22"/>
      <c r="M1" s="22"/>
      <c r="N1" s="22"/>
      <c r="O1" s="22"/>
      <c r="P1" s="22"/>
      <c r="Q1" s="22"/>
      <c r="R1" s="22"/>
      <c r="S1" s="22"/>
      <c r="T1" s="177"/>
      <c r="U1" s="177"/>
      <c r="V1" s="177"/>
      <c r="W1" s="177"/>
      <c r="X1" s="177"/>
      <c r="Y1" s="177"/>
      <c r="Z1" s="22"/>
      <c r="AA1" s="22"/>
      <c r="AB1" s="22"/>
      <c r="AC1" s="22"/>
      <c r="AD1" s="22"/>
      <c r="AE1" s="22"/>
      <c r="AF1" s="22"/>
      <c r="AG1" s="22"/>
      <c r="AH1" s="22"/>
      <c r="AI1" s="22"/>
      <c r="AJ1" s="177"/>
      <c r="AK1" s="177"/>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row>
    <row r="2" spans="1:81" ht="17.45" customHeight="1" x14ac:dyDescent="0.2">
      <c r="A2" s="261" t="s">
        <v>19</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261"/>
      <c r="AV2" s="261"/>
      <c r="AW2" s="261"/>
      <c r="AX2" s="261"/>
      <c r="AY2" s="261"/>
      <c r="AZ2" s="261"/>
      <c r="BA2" s="261"/>
      <c r="BB2" s="261"/>
      <c r="BC2" s="261"/>
      <c r="BD2" s="261"/>
      <c r="BE2" s="261"/>
      <c r="BF2" s="261"/>
      <c r="BG2" s="261"/>
      <c r="BH2" s="261"/>
      <c r="BI2" s="261"/>
      <c r="BJ2" s="261"/>
      <c r="BK2" s="261"/>
      <c r="BL2" s="261"/>
      <c r="BM2" s="261"/>
      <c r="BN2" s="261"/>
      <c r="BO2" s="261"/>
      <c r="BP2" s="261"/>
      <c r="BQ2" s="261"/>
      <c r="BR2" s="261"/>
      <c r="BS2" s="261"/>
      <c r="BT2" s="261"/>
      <c r="BU2" s="261"/>
      <c r="BV2" s="261"/>
      <c r="BW2" s="261"/>
      <c r="BX2" s="261"/>
      <c r="BY2" s="261"/>
      <c r="BZ2" s="261"/>
      <c r="CA2" s="261"/>
      <c r="CB2" s="261"/>
      <c r="CC2" s="261"/>
    </row>
    <row r="3" spans="1:81" ht="23.1" customHeight="1" x14ac:dyDescent="0.2">
      <c r="A3" s="10" t="s">
        <v>35</v>
      </c>
      <c r="B3" s="148"/>
      <c r="C3" s="148"/>
      <c r="D3" s="148"/>
      <c r="E3" s="148"/>
      <c r="F3" s="148"/>
      <c r="G3" s="148"/>
      <c r="H3" s="148"/>
      <c r="I3" s="148"/>
      <c r="J3" s="148"/>
      <c r="K3" s="148"/>
      <c r="L3" s="148"/>
      <c r="M3" s="148"/>
      <c r="N3" s="148"/>
      <c r="O3" s="148"/>
      <c r="P3" s="148"/>
      <c r="Q3" s="148"/>
      <c r="R3" s="22"/>
      <c r="S3" s="22"/>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22"/>
      <c r="BC3" s="148"/>
      <c r="BD3" s="148"/>
      <c r="BE3" s="148"/>
      <c r="BF3" s="148"/>
      <c r="BG3" s="148"/>
      <c r="BH3" s="148"/>
      <c r="BI3" s="148"/>
      <c r="BJ3" s="148"/>
      <c r="BK3" s="148"/>
      <c r="BL3" s="148"/>
      <c r="BM3" s="148"/>
      <c r="BN3" s="22"/>
      <c r="BO3" s="148"/>
      <c r="BP3" s="148"/>
      <c r="BQ3" s="148"/>
      <c r="BR3" s="148"/>
      <c r="BS3" s="148"/>
      <c r="BT3" s="148"/>
      <c r="BU3" s="148"/>
      <c r="BV3" s="148"/>
      <c r="BW3" s="148"/>
      <c r="BX3" s="148"/>
      <c r="BY3" s="148"/>
      <c r="BZ3" s="148"/>
      <c r="CA3" s="148"/>
      <c r="CB3" s="148"/>
      <c r="CC3" s="22"/>
    </row>
    <row r="4" spans="1:81" s="63" customFormat="1" ht="42" customHeight="1" x14ac:dyDescent="0.2">
      <c r="A4" s="261" t="s">
        <v>36</v>
      </c>
      <c r="B4" s="244" t="s">
        <v>93</v>
      </c>
      <c r="C4" s="244"/>
      <c r="D4" s="260" t="s">
        <v>126</v>
      </c>
      <c r="E4" s="260"/>
      <c r="F4" s="260" t="s">
        <v>127</v>
      </c>
      <c r="G4" s="260"/>
      <c r="H4" s="260" t="s">
        <v>128</v>
      </c>
      <c r="I4" s="260"/>
      <c r="J4" s="260" t="s">
        <v>129</v>
      </c>
      <c r="K4" s="260"/>
      <c r="L4" s="260" t="s">
        <v>130</v>
      </c>
      <c r="M4" s="260"/>
      <c r="N4" s="260" t="s">
        <v>131</v>
      </c>
      <c r="O4" s="260"/>
      <c r="P4" s="260" t="s">
        <v>132</v>
      </c>
      <c r="Q4" s="260"/>
      <c r="R4" s="260" t="s">
        <v>133</v>
      </c>
      <c r="S4" s="260"/>
      <c r="T4" s="260" t="s">
        <v>134</v>
      </c>
      <c r="U4" s="260"/>
      <c r="V4" s="260" t="s">
        <v>135</v>
      </c>
      <c r="W4" s="260"/>
      <c r="X4" s="260" t="s">
        <v>136</v>
      </c>
      <c r="Y4" s="260"/>
      <c r="Z4" s="260" t="s">
        <v>137</v>
      </c>
      <c r="AA4" s="260"/>
      <c r="AB4" s="244" t="s">
        <v>138</v>
      </c>
      <c r="AC4" s="244"/>
      <c r="AD4" s="260" t="s">
        <v>139</v>
      </c>
      <c r="AE4" s="260"/>
      <c r="AF4" s="260" t="s">
        <v>140</v>
      </c>
      <c r="AG4" s="260"/>
      <c r="AH4" s="260" t="s">
        <v>141</v>
      </c>
      <c r="AI4" s="260"/>
      <c r="AJ4" s="260" t="s">
        <v>142</v>
      </c>
      <c r="AK4" s="260"/>
      <c r="AL4" s="260" t="s">
        <v>143</v>
      </c>
      <c r="AM4" s="260"/>
      <c r="AN4" s="260" t="s">
        <v>144</v>
      </c>
      <c r="AO4" s="260"/>
      <c r="AP4" s="260" t="s">
        <v>145</v>
      </c>
      <c r="AQ4" s="260"/>
      <c r="AR4" s="260" t="s">
        <v>146</v>
      </c>
      <c r="AS4" s="260"/>
      <c r="AT4" s="244" t="s">
        <v>147</v>
      </c>
      <c r="AU4" s="244"/>
      <c r="AV4" s="260" t="s">
        <v>148</v>
      </c>
      <c r="AW4" s="260"/>
      <c r="AX4" s="260" t="s">
        <v>149</v>
      </c>
      <c r="AY4" s="260"/>
      <c r="AZ4" s="260" t="s">
        <v>150</v>
      </c>
      <c r="BA4" s="260"/>
      <c r="BB4" s="260" t="s">
        <v>151</v>
      </c>
      <c r="BC4" s="260"/>
      <c r="BD4" s="260" t="s">
        <v>152</v>
      </c>
      <c r="BE4" s="260"/>
      <c r="BF4" s="260" t="s">
        <v>153</v>
      </c>
      <c r="BG4" s="260"/>
      <c r="BH4" s="260" t="s">
        <v>154</v>
      </c>
      <c r="BI4" s="260"/>
      <c r="BJ4" s="260" t="s">
        <v>155</v>
      </c>
      <c r="BK4" s="260"/>
      <c r="BL4" s="260" t="s">
        <v>156</v>
      </c>
      <c r="BM4" s="260"/>
      <c r="BN4" s="260" t="s">
        <v>157</v>
      </c>
      <c r="BO4" s="260"/>
      <c r="BP4" s="260" t="s">
        <v>158</v>
      </c>
      <c r="BQ4" s="260"/>
      <c r="BR4" s="260" t="s">
        <v>159</v>
      </c>
      <c r="BS4" s="260"/>
      <c r="BT4" s="260" t="s">
        <v>160</v>
      </c>
      <c r="BU4" s="260"/>
      <c r="BV4" s="260" t="s">
        <v>161</v>
      </c>
      <c r="BW4" s="260"/>
      <c r="BX4" s="260" t="s">
        <v>162</v>
      </c>
      <c r="BY4" s="260"/>
      <c r="BZ4" s="260" t="s">
        <v>163</v>
      </c>
      <c r="CA4" s="260"/>
      <c r="CB4" s="244" t="s">
        <v>164</v>
      </c>
      <c r="CC4" s="244"/>
    </row>
    <row r="5" spans="1:81" s="63" customFormat="1" ht="19.5" customHeight="1" x14ac:dyDescent="0.2">
      <c r="A5" s="262"/>
      <c r="B5" s="62">
        <v>2021</v>
      </c>
      <c r="C5" s="62">
        <v>2022</v>
      </c>
      <c r="D5" s="62">
        <v>2021</v>
      </c>
      <c r="E5" s="62">
        <v>2022</v>
      </c>
      <c r="F5" s="62">
        <v>2021</v>
      </c>
      <c r="G5" s="62">
        <v>2022</v>
      </c>
      <c r="H5" s="62">
        <v>2021</v>
      </c>
      <c r="I5" s="62">
        <v>2022</v>
      </c>
      <c r="J5" s="62">
        <v>2021</v>
      </c>
      <c r="K5" s="62">
        <v>2022</v>
      </c>
      <c r="L5" s="62">
        <v>2021</v>
      </c>
      <c r="M5" s="62">
        <v>2022</v>
      </c>
      <c r="N5" s="62">
        <v>2021</v>
      </c>
      <c r="O5" s="62">
        <v>2022</v>
      </c>
      <c r="P5" s="62">
        <v>2021</v>
      </c>
      <c r="Q5" s="62">
        <v>2022</v>
      </c>
      <c r="R5" s="62">
        <v>2021</v>
      </c>
      <c r="S5" s="62">
        <v>2022</v>
      </c>
      <c r="T5" s="62">
        <v>2021</v>
      </c>
      <c r="U5" s="62">
        <v>2022</v>
      </c>
      <c r="V5" s="62">
        <v>2021</v>
      </c>
      <c r="W5" s="62">
        <v>2022</v>
      </c>
      <c r="X5" s="62">
        <v>2021</v>
      </c>
      <c r="Y5" s="62">
        <v>2022</v>
      </c>
      <c r="Z5" s="62">
        <v>2021</v>
      </c>
      <c r="AA5" s="62">
        <v>2022</v>
      </c>
      <c r="AB5" s="62">
        <v>2021</v>
      </c>
      <c r="AC5" s="62">
        <v>2022</v>
      </c>
      <c r="AD5" s="62">
        <v>2021</v>
      </c>
      <c r="AE5" s="62">
        <v>2022</v>
      </c>
      <c r="AF5" s="62">
        <v>2021</v>
      </c>
      <c r="AG5" s="62">
        <v>2022</v>
      </c>
      <c r="AH5" s="62">
        <v>2021</v>
      </c>
      <c r="AI5" s="62">
        <v>2022</v>
      </c>
      <c r="AJ5" s="62">
        <v>2021</v>
      </c>
      <c r="AK5" s="62">
        <v>2022</v>
      </c>
      <c r="AL5" s="62">
        <v>2021</v>
      </c>
      <c r="AM5" s="62">
        <v>2022</v>
      </c>
      <c r="AN5" s="62">
        <v>2021</v>
      </c>
      <c r="AO5" s="62">
        <v>2022</v>
      </c>
      <c r="AP5" s="62">
        <v>2021</v>
      </c>
      <c r="AQ5" s="62">
        <v>2022</v>
      </c>
      <c r="AR5" s="62">
        <v>2021</v>
      </c>
      <c r="AS5" s="62">
        <v>2022</v>
      </c>
      <c r="AT5" s="62">
        <v>2021</v>
      </c>
      <c r="AU5" s="62">
        <v>2022</v>
      </c>
      <c r="AV5" s="62">
        <v>2021</v>
      </c>
      <c r="AW5" s="62">
        <v>2022</v>
      </c>
      <c r="AX5" s="62">
        <v>2021</v>
      </c>
      <c r="AY5" s="62">
        <v>2022</v>
      </c>
      <c r="AZ5" s="62">
        <v>2021</v>
      </c>
      <c r="BA5" s="62">
        <v>2022</v>
      </c>
      <c r="BB5" s="62">
        <v>2021</v>
      </c>
      <c r="BC5" s="62">
        <v>2022</v>
      </c>
      <c r="BD5" s="62">
        <v>2021</v>
      </c>
      <c r="BE5" s="62">
        <v>2022</v>
      </c>
      <c r="BF5" s="62">
        <v>2021</v>
      </c>
      <c r="BG5" s="62">
        <v>2022</v>
      </c>
      <c r="BH5" s="62">
        <v>2021</v>
      </c>
      <c r="BI5" s="62">
        <v>2022</v>
      </c>
      <c r="BJ5" s="62">
        <v>2021</v>
      </c>
      <c r="BK5" s="62">
        <v>2022</v>
      </c>
      <c r="BL5" s="62">
        <v>2021</v>
      </c>
      <c r="BM5" s="62">
        <v>2022</v>
      </c>
      <c r="BN5" s="62">
        <v>2021</v>
      </c>
      <c r="BO5" s="62">
        <v>2022</v>
      </c>
      <c r="BP5" s="62">
        <v>2021</v>
      </c>
      <c r="BQ5" s="62">
        <v>2022</v>
      </c>
      <c r="BR5" s="62">
        <v>2021</v>
      </c>
      <c r="BS5" s="62">
        <v>2022</v>
      </c>
      <c r="BT5" s="62">
        <v>2021</v>
      </c>
      <c r="BU5" s="62">
        <v>2022</v>
      </c>
      <c r="BV5" s="62">
        <v>2021</v>
      </c>
      <c r="BW5" s="62">
        <v>2022</v>
      </c>
      <c r="BX5" s="62">
        <v>2021</v>
      </c>
      <c r="BY5" s="62">
        <v>2022</v>
      </c>
      <c r="BZ5" s="62">
        <v>2021</v>
      </c>
      <c r="CA5" s="62">
        <v>2022</v>
      </c>
      <c r="CB5" s="62">
        <v>2021</v>
      </c>
      <c r="CC5" s="179">
        <v>2022</v>
      </c>
    </row>
    <row r="6" spans="1:81" s="63" customFormat="1" ht="15" customHeight="1" x14ac:dyDescent="0.2">
      <c r="A6" s="34" t="s">
        <v>117</v>
      </c>
      <c r="D6" s="149"/>
      <c r="E6" s="149"/>
      <c r="F6" s="149"/>
      <c r="G6" s="149"/>
      <c r="J6" s="149"/>
      <c r="K6" s="149"/>
      <c r="L6" s="79"/>
      <c r="M6" s="79"/>
      <c r="R6" s="149"/>
      <c r="S6" s="149"/>
      <c r="V6" s="149"/>
      <c r="W6" s="149"/>
      <c r="X6" s="22"/>
      <c r="Y6" s="22"/>
      <c r="AB6" s="149"/>
      <c r="AC6" s="149"/>
      <c r="AD6" s="149"/>
      <c r="AE6" s="149"/>
      <c r="AL6" s="149"/>
      <c r="AM6" s="149"/>
      <c r="AN6" s="149"/>
      <c r="AO6" s="149"/>
      <c r="AP6" s="149"/>
      <c r="AQ6" s="149"/>
      <c r="AR6" s="149"/>
      <c r="AS6" s="149"/>
      <c r="AT6" s="149"/>
      <c r="AU6" s="149"/>
      <c r="AV6" s="149"/>
      <c r="AW6" s="149"/>
      <c r="AY6" s="149"/>
      <c r="AZ6" s="149"/>
      <c r="BA6" s="149"/>
      <c r="BB6" s="149"/>
      <c r="BC6" s="149"/>
      <c r="BD6" s="149"/>
      <c r="BE6" s="149"/>
      <c r="BF6" s="149"/>
      <c r="BG6" s="149"/>
      <c r="BH6" s="149"/>
      <c r="BI6" s="149"/>
      <c r="BJ6" s="149"/>
      <c r="BK6" s="149"/>
      <c r="BN6" s="149"/>
      <c r="BP6" s="149"/>
      <c r="BQ6" s="149"/>
      <c r="BR6" s="149"/>
      <c r="BS6" s="149"/>
      <c r="BT6" s="149"/>
      <c r="BU6" s="149"/>
      <c r="BV6" s="149"/>
      <c r="BW6" s="149"/>
      <c r="BX6" s="149"/>
      <c r="BY6" s="149"/>
      <c r="BZ6" s="149"/>
      <c r="CA6" s="149"/>
      <c r="CB6" s="149"/>
      <c r="CC6" s="149"/>
    </row>
    <row r="7" spans="1:81" s="63" customFormat="1" ht="24.75" customHeight="1" x14ac:dyDescent="0.2">
      <c r="A7" s="35" t="s">
        <v>40</v>
      </c>
      <c r="D7" s="149"/>
      <c r="E7" s="149"/>
      <c r="F7" s="149"/>
      <c r="G7" s="149"/>
      <c r="J7" s="149"/>
      <c r="K7" s="149"/>
      <c r="L7" s="79"/>
      <c r="M7" s="79"/>
      <c r="R7" s="149"/>
      <c r="S7" s="149"/>
      <c r="V7" s="149"/>
      <c r="W7" s="149"/>
      <c r="X7" s="22"/>
      <c r="Y7" s="22"/>
      <c r="AB7" s="149"/>
      <c r="AC7" s="149"/>
      <c r="AD7" s="149"/>
      <c r="AE7" s="149"/>
      <c r="AJ7" s="79"/>
      <c r="AK7" s="79"/>
      <c r="AL7" s="149"/>
      <c r="AM7" s="149"/>
      <c r="AN7" s="149"/>
      <c r="AO7" s="149"/>
      <c r="AP7" s="149"/>
      <c r="AQ7" s="149"/>
      <c r="AR7" s="149"/>
      <c r="AS7" s="149"/>
      <c r="AT7" s="149"/>
      <c r="AU7" s="149"/>
      <c r="AV7" s="149"/>
      <c r="AW7" s="149"/>
      <c r="AY7" s="149"/>
      <c r="AZ7" s="149"/>
      <c r="BA7" s="149"/>
      <c r="BB7" s="149"/>
      <c r="BC7" s="149"/>
      <c r="BD7" s="149"/>
      <c r="BE7" s="149"/>
      <c r="BF7" s="149"/>
      <c r="BG7" s="149"/>
      <c r="BH7" s="149"/>
      <c r="BI7" s="149"/>
      <c r="BJ7" s="149"/>
      <c r="BK7" s="149"/>
      <c r="BN7" s="149"/>
      <c r="BP7" s="149"/>
      <c r="BQ7" s="149"/>
      <c r="BR7" s="149"/>
      <c r="BS7" s="149"/>
      <c r="BT7" s="149"/>
      <c r="BU7" s="149"/>
      <c r="BV7" s="149"/>
      <c r="BW7" s="149"/>
      <c r="BX7" s="149"/>
      <c r="BY7" s="149"/>
      <c r="BZ7" s="149"/>
      <c r="CA7" s="149"/>
      <c r="CB7" s="149"/>
      <c r="CC7" s="149"/>
    </row>
    <row r="8" spans="1:81" ht="24.75" customHeight="1" x14ac:dyDescent="0.2">
      <c r="A8" s="36" t="s">
        <v>41</v>
      </c>
      <c r="B8" s="43">
        <f>+D8+F8+H8+J8+L8+N8+P8+R8+T8+V8+X8+Z8+AB8+AD8+AF8+AH8+AJ8+AL8+AN8+AP8+AR8+AT8+AV8+AX8+AZ8+BB8+BD8+BF8+BH8+BJ8+BL8+BN8+BP8+BR8+BT8+BV8+BX8+BZ8+CB8</f>
        <v>280202606648.25</v>
      </c>
      <c r="C8" s="43">
        <f>+E8+G8+I8+K8+M8+O8+Q8+S8+U8+W8+Y8+AA8+AC8+AE8+AG8+AI8+AK8+AM8+AO8+AQ8+AS8+AU8+AW8+AY8+BA8+BC8+BE8+BG8+BI8+BK8+BM8+BO8+BQ8+BS8+BU8+BW8+BY8+CA8+CC8</f>
        <v>368442599912.88</v>
      </c>
      <c r="D8" s="22">
        <v>185124</v>
      </c>
      <c r="E8" s="22">
        <v>6790</v>
      </c>
      <c r="F8" s="22">
        <v>544548</v>
      </c>
      <c r="G8" s="22">
        <v>235212</v>
      </c>
      <c r="H8" s="43">
        <v>226454697</v>
      </c>
      <c r="I8" s="43">
        <v>198546388</v>
      </c>
      <c r="J8" s="45">
        <v>1446037458</v>
      </c>
      <c r="K8" s="45">
        <v>1788163318</v>
      </c>
      <c r="L8" s="22">
        <v>247000</v>
      </c>
      <c r="M8" s="22">
        <v>247000</v>
      </c>
      <c r="N8" s="45">
        <v>14202000</v>
      </c>
      <c r="O8" s="45">
        <v>45353000</v>
      </c>
      <c r="P8" s="22"/>
      <c r="Q8" s="22"/>
      <c r="R8" s="45">
        <v>696249000</v>
      </c>
      <c r="S8" s="45">
        <v>715151905</v>
      </c>
      <c r="T8" s="50">
        <v>642934048</v>
      </c>
      <c r="U8" s="50">
        <v>751494180</v>
      </c>
      <c r="V8" s="45"/>
      <c r="W8" s="45"/>
      <c r="X8" s="45">
        <v>785862000</v>
      </c>
      <c r="Y8" s="45">
        <v>716483073</v>
      </c>
      <c r="Z8" s="45">
        <v>1286456784</v>
      </c>
      <c r="AA8" s="45">
        <v>1997272397</v>
      </c>
      <c r="AB8" s="45">
        <v>340738000</v>
      </c>
      <c r="AC8" s="45">
        <v>172520000</v>
      </c>
      <c r="AD8" s="45">
        <v>1708160623.3499999</v>
      </c>
      <c r="AE8" s="45">
        <v>1589798131.1700001</v>
      </c>
      <c r="AF8" s="45">
        <v>1932226766</v>
      </c>
      <c r="AG8" s="45">
        <v>2797765450</v>
      </c>
      <c r="AH8" s="45">
        <v>2493091000</v>
      </c>
      <c r="AI8" s="45">
        <v>1709934712</v>
      </c>
      <c r="AJ8" s="52">
        <v>2282004829</v>
      </c>
      <c r="AK8" s="52">
        <v>4639653929</v>
      </c>
      <c r="AL8" s="45">
        <v>22380612</v>
      </c>
      <c r="AM8" s="45">
        <v>26332312</v>
      </c>
      <c r="AN8" s="45">
        <v>2241475614</v>
      </c>
      <c r="AO8" s="45">
        <v>5342888279</v>
      </c>
      <c r="AP8" s="45">
        <v>723834396</v>
      </c>
      <c r="AQ8" s="45">
        <v>1151472344</v>
      </c>
      <c r="AR8" s="22">
        <v>3508650</v>
      </c>
      <c r="AS8" s="22">
        <v>1670544</v>
      </c>
      <c r="AT8" s="45">
        <v>72648572230</v>
      </c>
      <c r="AU8" s="45">
        <v>95515727649</v>
      </c>
      <c r="AV8" s="22"/>
      <c r="AW8" s="22"/>
      <c r="AX8" s="22"/>
      <c r="AY8" s="22"/>
      <c r="AZ8" s="22">
        <v>17039000</v>
      </c>
      <c r="BA8" s="22">
        <v>43691000</v>
      </c>
      <c r="BB8" s="45">
        <v>2080427203.9000001</v>
      </c>
      <c r="BC8" s="45">
        <v>1713560513.71</v>
      </c>
      <c r="BD8" s="151"/>
      <c r="BE8" s="150"/>
      <c r="BF8" s="45">
        <v>6517614197</v>
      </c>
      <c r="BG8" s="45">
        <v>8232949724</v>
      </c>
      <c r="BH8" s="45">
        <v>626709786</v>
      </c>
      <c r="BI8" s="45">
        <v>899011378</v>
      </c>
      <c r="BJ8" s="45">
        <v>713568581</v>
      </c>
      <c r="BK8" s="45">
        <v>1599815818</v>
      </c>
      <c r="BL8" s="45">
        <v>2670664841</v>
      </c>
      <c r="BM8" s="45">
        <v>3415866256</v>
      </c>
      <c r="BN8" s="58">
        <v>11637062989</v>
      </c>
      <c r="BO8" s="45">
        <v>15563632872</v>
      </c>
      <c r="BP8" s="22">
        <v>38219</v>
      </c>
      <c r="BQ8" s="22">
        <v>39298</v>
      </c>
      <c r="BR8" s="22">
        <v>15092676</v>
      </c>
      <c r="BS8" s="22">
        <v>8017011</v>
      </c>
      <c r="BT8" s="58">
        <v>3406072756</v>
      </c>
      <c r="BU8" s="58">
        <v>3875979779</v>
      </c>
      <c r="BV8" s="22">
        <v>1176469805</v>
      </c>
      <c r="BW8" s="22">
        <v>1368246586</v>
      </c>
      <c r="BX8" s="45">
        <v>980210000</v>
      </c>
      <c r="BY8" s="45">
        <v>1533392005</v>
      </c>
      <c r="BZ8" s="22">
        <v>286532000</v>
      </c>
      <c r="CA8" s="22">
        <v>325723122</v>
      </c>
      <c r="CB8" s="45">
        <v>160579939215</v>
      </c>
      <c r="CC8" s="45">
        <v>210701957937</v>
      </c>
    </row>
    <row r="9" spans="1:81" ht="24.75" customHeight="1" x14ac:dyDescent="0.2">
      <c r="A9" s="36" t="s">
        <v>42</v>
      </c>
      <c r="B9" s="43">
        <f>+D9+F9+H9+J9+L9+N9+P9+R9+T9+V9+X9+Z9+AB9+AD9+AF9+AH9+AJ9+AL9+AN9+AP9+AR9+AT9+AV9+AX9+AZ9+BB9+BD9+BF9+BH9+BJ9+BL9+BN9+BP9+BR9+BT9+BV9+BX9+BZ9+CB9</f>
        <v>372402579204.65002</v>
      </c>
      <c r="C9" s="43">
        <f>+E9+G9+I9+K9+M9+O9+Q9+S9+U9+W9+Y9+AA9+AC9+AE9+AG9+AI9+AK9+AM9+AO9+AQ9+AS9+AU9+AW9+AY9+BA9+BC9+BE9+BG9+BI9+BK9+BM9+BO9+BQ9+BS9+BU9+BW9+BY9+CA9+CC9</f>
        <v>336184087359.95001</v>
      </c>
      <c r="D9" s="22">
        <v>1500395</v>
      </c>
      <c r="E9" s="22">
        <v>1961008</v>
      </c>
      <c r="F9" s="22">
        <v>1642728</v>
      </c>
      <c r="G9" s="146">
        <v>1982969</v>
      </c>
      <c r="H9" s="43">
        <v>4025098321</v>
      </c>
      <c r="I9" s="43">
        <v>4334581379</v>
      </c>
      <c r="J9" s="45">
        <v>2263743232</v>
      </c>
      <c r="K9" s="45">
        <v>2262311561</v>
      </c>
      <c r="L9" s="22">
        <v>92194392</v>
      </c>
      <c r="M9" s="22">
        <v>92194392</v>
      </c>
      <c r="N9" s="45">
        <v>1668280000</v>
      </c>
      <c r="O9" s="45">
        <v>1619780000</v>
      </c>
      <c r="P9" s="22"/>
      <c r="Q9" s="22"/>
      <c r="R9" s="45">
        <v>471949581</v>
      </c>
      <c r="S9" s="45">
        <v>471949581</v>
      </c>
      <c r="T9" s="50">
        <v>2533819952</v>
      </c>
      <c r="U9" s="50">
        <v>2531090905</v>
      </c>
      <c r="V9" s="45"/>
      <c r="W9" s="45"/>
      <c r="X9" s="45">
        <v>1051989000</v>
      </c>
      <c r="Y9" s="45">
        <v>1051989000</v>
      </c>
      <c r="Z9" s="45">
        <v>2293977830</v>
      </c>
      <c r="AA9" s="45">
        <v>2104503901</v>
      </c>
      <c r="AB9" s="45">
        <v>772889446</v>
      </c>
      <c r="AC9" s="45">
        <v>874759000</v>
      </c>
      <c r="AD9" s="45">
        <v>4561788130.6499996</v>
      </c>
      <c r="AE9" s="45">
        <f>4224429473.05+295054770.9</f>
        <v>4519484243.9499998</v>
      </c>
      <c r="AF9" s="45">
        <v>4904657766</v>
      </c>
      <c r="AG9" s="45">
        <v>5893981674</v>
      </c>
      <c r="AH9" s="45">
        <v>63170000</v>
      </c>
      <c r="AI9" s="45">
        <v>60451026</v>
      </c>
      <c r="AJ9" s="52">
        <v>172625463</v>
      </c>
      <c r="AK9" s="52">
        <v>9255743650</v>
      </c>
      <c r="AL9" s="45">
        <v>81834477</v>
      </c>
      <c r="AM9" s="45">
        <v>90495780</v>
      </c>
      <c r="AN9" s="45">
        <v>4172505710</v>
      </c>
      <c r="AO9" s="45">
        <v>3574360020</v>
      </c>
      <c r="AP9" s="45">
        <v>948679545</v>
      </c>
      <c r="AQ9" s="45">
        <v>970631016</v>
      </c>
      <c r="AR9" s="22">
        <v>7366729</v>
      </c>
      <c r="AS9" s="22">
        <v>8651482</v>
      </c>
      <c r="AT9" s="45">
        <v>64275997520</v>
      </c>
      <c r="AU9" s="45">
        <v>49521333073</v>
      </c>
      <c r="AV9" s="22"/>
      <c r="AW9" s="22"/>
      <c r="AX9" s="22"/>
      <c r="AY9" s="22"/>
      <c r="AZ9" s="22">
        <v>148339000</v>
      </c>
      <c r="BA9" s="22">
        <v>128916000</v>
      </c>
      <c r="BB9" s="45">
        <v>905364475</v>
      </c>
      <c r="BC9" s="45">
        <v>856818669</v>
      </c>
      <c r="BD9" s="151"/>
      <c r="BE9" s="150"/>
      <c r="BF9" s="45">
        <v>15219720432</v>
      </c>
      <c r="BG9" s="45">
        <v>15376648645</v>
      </c>
      <c r="BH9" s="45">
        <v>449510458</v>
      </c>
      <c r="BI9" s="45">
        <v>440772197</v>
      </c>
      <c r="BJ9" s="45">
        <v>2768794211</v>
      </c>
      <c r="BK9" s="45">
        <v>2841631612</v>
      </c>
      <c r="BL9" s="45">
        <v>3886028008</v>
      </c>
      <c r="BM9" s="45">
        <v>3268009669</v>
      </c>
      <c r="BN9" s="45">
        <v>3783719394</v>
      </c>
      <c r="BO9" s="45">
        <v>3457150217</v>
      </c>
      <c r="BP9" s="22">
        <v>719330</v>
      </c>
      <c r="BQ9" s="22">
        <v>860658</v>
      </c>
      <c r="BR9" s="22">
        <v>18467651</v>
      </c>
      <c r="BS9" s="22">
        <v>25011669</v>
      </c>
      <c r="BT9" s="58">
        <v>19949590146</v>
      </c>
      <c r="BU9" s="58">
        <v>19587508065</v>
      </c>
      <c r="BV9" s="22">
        <v>1259859212</v>
      </c>
      <c r="BW9" s="22">
        <v>1259859212</v>
      </c>
      <c r="BX9" s="45">
        <v>11893470000</v>
      </c>
      <c r="BY9" s="45">
        <v>7136215259</v>
      </c>
      <c r="BZ9" s="22">
        <v>88558000</v>
      </c>
      <c r="CA9" s="22">
        <v>88558144</v>
      </c>
      <c r="CB9" s="45">
        <v>217664728670</v>
      </c>
      <c r="CC9" s="45">
        <v>192473891683</v>
      </c>
    </row>
    <row r="10" spans="1:81" ht="24.75" customHeight="1" x14ac:dyDescent="0.2">
      <c r="A10" s="37" t="s">
        <v>43</v>
      </c>
      <c r="B10" s="53">
        <f t="shared" ref="B10:G10" si="0">+B8+B9</f>
        <v>652605185852.90002</v>
      </c>
      <c r="C10" s="53">
        <f t="shared" si="0"/>
        <v>704626687272.83008</v>
      </c>
      <c r="D10" s="152">
        <f t="shared" si="0"/>
        <v>1685519</v>
      </c>
      <c r="E10" s="152">
        <f t="shared" si="0"/>
        <v>1967798</v>
      </c>
      <c r="F10" s="152">
        <f t="shared" si="0"/>
        <v>2187276</v>
      </c>
      <c r="G10" s="152">
        <f t="shared" si="0"/>
        <v>2218181</v>
      </c>
      <c r="H10" s="44">
        <f t="shared" ref="H10:M10" si="1">+H8+H9</f>
        <v>4251553018</v>
      </c>
      <c r="I10" s="44">
        <f t="shared" si="1"/>
        <v>4533127767</v>
      </c>
      <c r="J10" s="44">
        <f t="shared" si="1"/>
        <v>3709780690</v>
      </c>
      <c r="K10" s="44">
        <f t="shared" si="1"/>
        <v>4050474879</v>
      </c>
      <c r="L10" s="153">
        <f t="shared" si="1"/>
        <v>92441392</v>
      </c>
      <c r="M10" s="153">
        <f t="shared" si="1"/>
        <v>92441392</v>
      </c>
      <c r="N10" s="53">
        <f t="shared" ref="N10:W10" si="2">+N8+N9</f>
        <v>1682482000</v>
      </c>
      <c r="O10" s="53">
        <f t="shared" si="2"/>
        <v>1665133000</v>
      </c>
      <c r="P10" s="152">
        <f t="shared" si="2"/>
        <v>0</v>
      </c>
      <c r="Q10" s="152">
        <f t="shared" si="2"/>
        <v>0</v>
      </c>
      <c r="R10" s="53">
        <f t="shared" si="2"/>
        <v>1168198581</v>
      </c>
      <c r="S10" s="53">
        <f t="shared" si="2"/>
        <v>1187101486</v>
      </c>
      <c r="T10" s="55">
        <f t="shared" si="2"/>
        <v>3176754000</v>
      </c>
      <c r="U10" s="55">
        <f t="shared" si="2"/>
        <v>3282585085</v>
      </c>
      <c r="V10" s="53">
        <f t="shared" si="2"/>
        <v>0</v>
      </c>
      <c r="W10" s="53">
        <f t="shared" si="2"/>
        <v>0</v>
      </c>
      <c r="X10" s="53">
        <f t="shared" ref="X10:AE10" si="3">+X8+X9</f>
        <v>1837851000</v>
      </c>
      <c r="Y10" s="53">
        <f t="shared" si="3"/>
        <v>1768472073</v>
      </c>
      <c r="Z10" s="53">
        <f t="shared" si="3"/>
        <v>3580434614</v>
      </c>
      <c r="AA10" s="53">
        <f t="shared" si="3"/>
        <v>4101776298</v>
      </c>
      <c r="AB10" s="53">
        <f t="shared" si="3"/>
        <v>1113627446</v>
      </c>
      <c r="AC10" s="53">
        <f t="shared" si="3"/>
        <v>1047279000</v>
      </c>
      <c r="AD10" s="53">
        <f t="shared" si="3"/>
        <v>6269948754</v>
      </c>
      <c r="AE10" s="53">
        <f t="shared" si="3"/>
        <v>6109282375.1199999</v>
      </c>
      <c r="AF10" s="53">
        <f>+AF8+AF9</f>
        <v>6836884532</v>
      </c>
      <c r="AG10" s="53">
        <f>+AG8+AG9</f>
        <v>8691747124</v>
      </c>
      <c r="AH10" s="53">
        <f>+AH8+AH9</f>
        <v>2556261000</v>
      </c>
      <c r="AI10" s="53">
        <f>+AI8+AI9</f>
        <v>1770385738</v>
      </c>
      <c r="AJ10" s="59">
        <f t="shared" ref="AJ10:AQ10" si="4">+AJ8+AJ9</f>
        <v>2454630292</v>
      </c>
      <c r="AK10" s="59">
        <f t="shared" si="4"/>
        <v>13895397579</v>
      </c>
      <c r="AL10" s="53">
        <f t="shared" si="4"/>
        <v>104215089</v>
      </c>
      <c r="AM10" s="53">
        <f t="shared" si="4"/>
        <v>116828092</v>
      </c>
      <c r="AN10" s="53">
        <f t="shared" si="4"/>
        <v>6413981324</v>
      </c>
      <c r="AO10" s="53">
        <f t="shared" si="4"/>
        <v>8917248299</v>
      </c>
      <c r="AP10" s="53">
        <f t="shared" si="4"/>
        <v>1672513941</v>
      </c>
      <c r="AQ10" s="53">
        <f t="shared" si="4"/>
        <v>2122103360</v>
      </c>
      <c r="AR10" s="152">
        <f t="shared" ref="AR10:AW10" si="5">+AR8+AR9</f>
        <v>10875379</v>
      </c>
      <c r="AS10" s="152">
        <f t="shared" si="5"/>
        <v>10322026</v>
      </c>
      <c r="AT10" s="53">
        <f t="shared" si="5"/>
        <v>136924569750</v>
      </c>
      <c r="AU10" s="53">
        <f t="shared" si="5"/>
        <v>145037060722</v>
      </c>
      <c r="AV10" s="152">
        <f t="shared" si="5"/>
        <v>0</v>
      </c>
      <c r="AW10" s="152">
        <f t="shared" si="5"/>
        <v>0</v>
      </c>
      <c r="AX10" s="152">
        <f t="shared" ref="AX10:BC10" si="6">+AX8+AX9</f>
        <v>0</v>
      </c>
      <c r="AY10" s="152">
        <f t="shared" si="6"/>
        <v>0</v>
      </c>
      <c r="AZ10" s="152">
        <f t="shared" si="6"/>
        <v>165378000</v>
      </c>
      <c r="BA10" s="152">
        <f t="shared" si="6"/>
        <v>172607000</v>
      </c>
      <c r="BB10" s="53">
        <f t="shared" si="6"/>
        <v>2985791678.9000001</v>
      </c>
      <c r="BC10" s="53">
        <f t="shared" si="6"/>
        <v>2570379182.71</v>
      </c>
      <c r="BD10" s="152">
        <f>+BD8+BD9</f>
        <v>0</v>
      </c>
      <c r="BE10" s="152">
        <f>+BE8+BE9</f>
        <v>0</v>
      </c>
      <c r="BF10" s="53">
        <f t="shared" ref="BF10:BM10" si="7">+BF8+BF9</f>
        <v>21737334629</v>
      </c>
      <c r="BG10" s="53">
        <f t="shared" si="7"/>
        <v>23609598369</v>
      </c>
      <c r="BH10" s="53">
        <f t="shared" si="7"/>
        <v>1076220244</v>
      </c>
      <c r="BI10" s="53">
        <f t="shared" si="7"/>
        <v>1339783575</v>
      </c>
      <c r="BJ10" s="53">
        <f t="shared" si="7"/>
        <v>3482362792</v>
      </c>
      <c r="BK10" s="53">
        <f t="shared" si="7"/>
        <v>4441447430</v>
      </c>
      <c r="BL10" s="53">
        <f t="shared" si="7"/>
        <v>6556692849</v>
      </c>
      <c r="BM10" s="53">
        <f t="shared" si="7"/>
        <v>6683875925</v>
      </c>
      <c r="BN10" s="53">
        <f t="shared" ref="BN10:CC10" si="8">+BN8+BN9</f>
        <v>15420782383</v>
      </c>
      <c r="BO10" s="53">
        <f t="shared" si="8"/>
        <v>19020783089</v>
      </c>
      <c r="BP10" s="152">
        <f t="shared" si="8"/>
        <v>757549</v>
      </c>
      <c r="BQ10" s="152">
        <f t="shared" si="8"/>
        <v>899956</v>
      </c>
      <c r="BR10" s="152">
        <f t="shared" si="8"/>
        <v>33560327</v>
      </c>
      <c r="BS10" s="152">
        <f t="shared" si="8"/>
        <v>33028680</v>
      </c>
      <c r="BT10" s="53">
        <f t="shared" si="8"/>
        <v>23355662902</v>
      </c>
      <c r="BU10" s="53">
        <f t="shared" si="8"/>
        <v>23463487844</v>
      </c>
      <c r="BV10" s="152">
        <f>+BV8+BV9</f>
        <v>2436329017</v>
      </c>
      <c r="BW10" s="152">
        <f>+BW8+BW9</f>
        <v>2628105798</v>
      </c>
      <c r="BX10" s="53">
        <f>+BX8+BX9</f>
        <v>12873680000</v>
      </c>
      <c r="BY10" s="53">
        <f t="shared" si="8"/>
        <v>8669607264</v>
      </c>
      <c r="BZ10" s="152">
        <f>+BZ8+BZ9</f>
        <v>375090000</v>
      </c>
      <c r="CA10" s="152">
        <f t="shared" si="8"/>
        <v>414281266</v>
      </c>
      <c r="CB10" s="53">
        <f t="shared" si="8"/>
        <v>378244667885</v>
      </c>
      <c r="CC10" s="53">
        <f t="shared" si="8"/>
        <v>403175849620</v>
      </c>
    </row>
    <row r="11" spans="1:81" s="63" customFormat="1" ht="24.75" customHeight="1" x14ac:dyDescent="0.2">
      <c r="A11" s="35" t="s">
        <v>44</v>
      </c>
      <c r="B11" s="43"/>
      <c r="C11" s="43"/>
      <c r="H11" s="43"/>
      <c r="I11" s="43"/>
      <c r="J11" s="47"/>
      <c r="K11" s="47"/>
      <c r="L11" s="25"/>
      <c r="M11" s="25"/>
      <c r="N11" s="47"/>
      <c r="O11" s="47"/>
      <c r="R11" s="47"/>
      <c r="S11" s="47"/>
      <c r="T11" s="56"/>
      <c r="U11" s="56"/>
      <c r="V11" s="47"/>
      <c r="W11" s="47"/>
      <c r="X11" s="45"/>
      <c r="Y11" s="45"/>
      <c r="Z11" s="47"/>
      <c r="AA11" s="47"/>
      <c r="AB11" s="47"/>
      <c r="AC11" s="47"/>
      <c r="AD11" s="47"/>
      <c r="AE11" s="47"/>
      <c r="AF11" s="47"/>
      <c r="AG11" s="47"/>
      <c r="AH11" s="45"/>
      <c r="AI11" s="45"/>
      <c r="AJ11" s="51"/>
      <c r="AK11" s="51"/>
      <c r="AL11" s="47"/>
      <c r="AM11" s="47"/>
      <c r="AN11" s="47"/>
      <c r="AO11" s="47"/>
      <c r="AP11" s="47"/>
      <c r="AQ11" s="47"/>
      <c r="AT11" s="47"/>
      <c r="AU11" s="47"/>
      <c r="BB11" s="47"/>
      <c r="BC11" s="47"/>
      <c r="BD11" s="154"/>
      <c r="BE11" s="154"/>
      <c r="BF11" s="47"/>
      <c r="BG11" s="47"/>
      <c r="BH11" s="47"/>
      <c r="BI11" s="47"/>
      <c r="BJ11" s="47"/>
      <c r="BK11" s="47"/>
      <c r="BL11" s="47"/>
      <c r="BM11" s="47"/>
      <c r="BN11" s="47"/>
      <c r="BO11" s="47"/>
      <c r="BT11" s="54"/>
      <c r="BU11" s="54"/>
      <c r="BX11" s="47"/>
      <c r="BY11" s="47"/>
      <c r="CB11" s="47"/>
      <c r="CC11" s="47"/>
    </row>
    <row r="12" spans="1:81" ht="24.75" customHeight="1" x14ac:dyDescent="0.2">
      <c r="A12" s="36" t="s">
        <v>45</v>
      </c>
      <c r="B12" s="43">
        <f>+D12+F12+H12+J12+L12+N12+P12+R12+T12+V12+X12+Z12+AB12+AD12+AF12+AH12+AJ12+AL12+AN12+AP12+AR12+AT12+AV12+AX12+AZ12+BB12+BD12+BF12+BH12+BJ12+BL12+BN12+BP12+BR12+BT12+BV12+BX12+BZ12+CB12</f>
        <v>201465693767.57001</v>
      </c>
      <c r="C12" s="43">
        <f>+E12+G12+I12+K12+M12+O12+Q12+S12+U12+W12+Y12+AA12+AC12+AE12+AG12+AI12+AK12+AM12+AO12+AQ12+AS12+AU12+AW12+AY12+BA12+BC12+BE12+BG12+BI12+BK12+BM12+BO12+BQ12+BS12+BU12+BW12+BY12+CA12+CC12</f>
        <v>255900794799.95001</v>
      </c>
      <c r="D12" s="22">
        <v>108911</v>
      </c>
      <c r="E12" s="22">
        <v>646859</v>
      </c>
      <c r="F12" s="22">
        <v>178683</v>
      </c>
      <c r="G12" s="22">
        <v>154554</v>
      </c>
      <c r="H12" s="43">
        <v>578557265</v>
      </c>
      <c r="I12" s="43">
        <v>473961794</v>
      </c>
      <c r="J12" s="45">
        <v>451721122</v>
      </c>
      <c r="K12" s="45">
        <v>775857950</v>
      </c>
      <c r="L12" s="25">
        <v>11874316</v>
      </c>
      <c r="M12" s="25">
        <v>11874316</v>
      </c>
      <c r="N12" s="45">
        <v>26930000</v>
      </c>
      <c r="O12" s="45">
        <v>28433000</v>
      </c>
      <c r="P12" s="22"/>
      <c r="Q12" s="22"/>
      <c r="R12" s="45">
        <v>108106900</v>
      </c>
      <c r="S12" s="45">
        <v>90785302</v>
      </c>
      <c r="T12" s="50">
        <v>142259548</v>
      </c>
      <c r="U12" s="50">
        <v>240745667</v>
      </c>
      <c r="V12" s="47"/>
      <c r="W12" s="47"/>
      <c r="X12" s="45">
        <v>43946000</v>
      </c>
      <c r="Y12" s="45">
        <v>62849150</v>
      </c>
      <c r="Z12" s="45">
        <v>543558884</v>
      </c>
      <c r="AA12" s="45">
        <v>316454470</v>
      </c>
      <c r="AB12" s="45">
        <v>522319333</v>
      </c>
      <c r="AC12" s="45">
        <v>302411000</v>
      </c>
      <c r="AD12" s="45">
        <v>1505301102.1300001</v>
      </c>
      <c r="AE12" s="45">
        <v>1508098769.01</v>
      </c>
      <c r="AF12" s="45">
        <v>1464482035</v>
      </c>
      <c r="AG12" s="45">
        <v>2225077798</v>
      </c>
      <c r="AH12" s="45">
        <v>1191481284</v>
      </c>
      <c r="AI12" s="45">
        <v>350437686</v>
      </c>
      <c r="AJ12" s="52">
        <v>1293363637</v>
      </c>
      <c r="AK12" s="52">
        <v>4029214269</v>
      </c>
      <c r="AL12" s="45">
        <v>9767932</v>
      </c>
      <c r="AM12" s="45">
        <v>14606685</v>
      </c>
      <c r="AN12" s="45">
        <v>814749226</v>
      </c>
      <c r="AO12" s="45">
        <v>1517004271</v>
      </c>
      <c r="AP12" s="45">
        <v>634352848</v>
      </c>
      <c r="AQ12" s="45">
        <v>723243535</v>
      </c>
      <c r="AR12" s="22">
        <v>1466813</v>
      </c>
      <c r="AS12" s="22">
        <v>1400667</v>
      </c>
      <c r="AT12" s="45">
        <v>41837402780</v>
      </c>
      <c r="AU12" s="45">
        <v>48960156201</v>
      </c>
      <c r="AV12" s="22"/>
      <c r="AW12" s="22"/>
      <c r="AX12" s="22"/>
      <c r="AY12" s="22"/>
      <c r="AZ12" s="22">
        <v>16505000</v>
      </c>
      <c r="BA12" s="22">
        <v>18672000</v>
      </c>
      <c r="BB12" s="45">
        <v>1055196090.4400001</v>
      </c>
      <c r="BC12" s="45">
        <v>529308159.94</v>
      </c>
      <c r="BD12" s="150"/>
      <c r="BE12" s="151"/>
      <c r="BF12" s="45">
        <v>3092093463</v>
      </c>
      <c r="BG12" s="45">
        <v>4998902996</v>
      </c>
      <c r="BH12" s="45">
        <v>143450582</v>
      </c>
      <c r="BI12" s="45">
        <v>282271963</v>
      </c>
      <c r="BJ12" s="45">
        <v>409597487</v>
      </c>
      <c r="BK12" s="45">
        <v>1236713679</v>
      </c>
      <c r="BL12" s="45">
        <v>1501473327</v>
      </c>
      <c r="BM12" s="45">
        <v>1980622997</v>
      </c>
      <c r="BN12" s="45">
        <v>1639800809</v>
      </c>
      <c r="BO12" s="45">
        <v>2079256657</v>
      </c>
      <c r="BP12" s="22">
        <v>12856</v>
      </c>
      <c r="BQ12" s="22">
        <v>130816</v>
      </c>
      <c r="BR12" s="22">
        <v>6648454</v>
      </c>
      <c r="BS12" s="22">
        <v>11588964</v>
      </c>
      <c r="BT12" s="58">
        <v>3266677961</v>
      </c>
      <c r="BU12" s="58">
        <v>3310827788</v>
      </c>
      <c r="BV12" s="22">
        <v>595940203</v>
      </c>
      <c r="BW12" s="22">
        <v>783254030</v>
      </c>
      <c r="BX12" s="45">
        <v>924779000</v>
      </c>
      <c r="BY12" s="45">
        <v>585782731</v>
      </c>
      <c r="BZ12" s="22">
        <v>6100000</v>
      </c>
      <c r="CA12" s="22">
        <v>16980640</v>
      </c>
      <c r="CB12" s="45">
        <v>137625489916</v>
      </c>
      <c r="CC12" s="45">
        <v>178433067436</v>
      </c>
    </row>
    <row r="13" spans="1:81" ht="24.75" customHeight="1" x14ac:dyDescent="0.2">
      <c r="A13" s="38" t="s">
        <v>46</v>
      </c>
      <c r="B13" s="43">
        <f>+D13+F13+H13+J13+L13+N13+P13+R13+T13+V13+X13+Z13+AB13+AD13+AF13+AH13+AJ13+AL13+AN13+AP13+AR13+AT13+AV13+AX13+AZ13+BB13+BD13+BF13+BH13+BJ13+BL13+BN13+BP13+BR13+BT13+BV13+BX13+BZ13+CB13</f>
        <v>246124981566.29001</v>
      </c>
      <c r="C13" s="43">
        <f>+E13+G13+I13+K13+M13+O13+Q13+S13+U13+W13+Y13+AA13+AC13+AE13+AG13+AI13+AK13+AM13+AO13+AQ13+AS13+AU13+AW13+AY13+BA13+BC13+BE13+BG13+BI13+BK13+BM13+BO13+BQ13+BS13+BU13+BW13+BY13+CA13+CC13</f>
        <v>245227629222</v>
      </c>
      <c r="D13" s="22">
        <v>0</v>
      </c>
      <c r="E13" s="22">
        <v>0</v>
      </c>
      <c r="F13" s="22">
        <v>453200</v>
      </c>
      <c r="G13" s="22">
        <v>501002</v>
      </c>
      <c r="H13" s="43">
        <v>2374421806</v>
      </c>
      <c r="I13" s="43">
        <v>3009487841</v>
      </c>
      <c r="J13" s="45">
        <v>0</v>
      </c>
      <c r="K13" s="45">
        <v>0</v>
      </c>
      <c r="L13" s="25"/>
      <c r="M13" s="25"/>
      <c r="N13" s="45">
        <v>435816000</v>
      </c>
      <c r="O13" s="45">
        <v>385600000</v>
      </c>
      <c r="P13" s="22"/>
      <c r="Q13" s="22"/>
      <c r="R13" s="45"/>
      <c r="S13" s="45"/>
      <c r="T13" s="50">
        <v>510025773</v>
      </c>
      <c r="U13" s="50">
        <v>489040342</v>
      </c>
      <c r="V13" s="45"/>
      <c r="W13" s="45"/>
      <c r="X13" s="45">
        <v>281658000</v>
      </c>
      <c r="Y13" s="45">
        <v>76656073</v>
      </c>
      <c r="Z13" s="45">
        <v>180109227</v>
      </c>
      <c r="AA13" s="45">
        <v>913960000</v>
      </c>
      <c r="AB13" s="45">
        <v>0</v>
      </c>
      <c r="AC13" s="45">
        <v>110576000</v>
      </c>
      <c r="AD13" s="45">
        <v>1326691999.29</v>
      </c>
      <c r="AE13" s="45">
        <v>975088278</v>
      </c>
      <c r="AF13" s="45">
        <v>754698624</v>
      </c>
      <c r="AG13" s="45">
        <v>738220129</v>
      </c>
      <c r="AH13" s="45">
        <v>9556737</v>
      </c>
      <c r="AI13" s="45">
        <v>15336418</v>
      </c>
      <c r="AJ13" s="52">
        <v>36114342</v>
      </c>
      <c r="AK13" s="52">
        <v>4141828970</v>
      </c>
      <c r="AL13" s="45">
        <v>62776468</v>
      </c>
      <c r="AM13" s="45">
        <v>65097563</v>
      </c>
      <c r="AN13" s="45">
        <v>659301057</v>
      </c>
      <c r="AO13" s="45">
        <v>1593550377</v>
      </c>
      <c r="AP13" s="45"/>
      <c r="AQ13" s="45">
        <v>64738852</v>
      </c>
      <c r="AR13" s="22">
        <v>1287762</v>
      </c>
      <c r="AS13" s="22">
        <v>402332</v>
      </c>
      <c r="AT13" s="45">
        <v>17979898529</v>
      </c>
      <c r="AU13" s="45">
        <v>5989537967</v>
      </c>
      <c r="AV13" s="22"/>
      <c r="AW13" s="22"/>
      <c r="AX13" s="22"/>
      <c r="AY13" s="22"/>
      <c r="AZ13" s="22">
        <v>148393000</v>
      </c>
      <c r="BA13" s="22">
        <v>151062000</v>
      </c>
      <c r="BB13" s="45">
        <v>22387643</v>
      </c>
      <c r="BC13" s="45">
        <v>18726263</v>
      </c>
      <c r="BD13" s="150"/>
      <c r="BE13" s="151"/>
      <c r="BF13" s="45">
        <v>9903261396</v>
      </c>
      <c r="BG13" s="45">
        <v>9744676189</v>
      </c>
      <c r="BH13" s="47"/>
      <c r="BI13" s="47"/>
      <c r="BJ13" s="45">
        <v>837203668</v>
      </c>
      <c r="BK13" s="45">
        <v>857884966</v>
      </c>
      <c r="BL13" s="45">
        <v>1421249040</v>
      </c>
      <c r="BM13" s="45">
        <v>671835369</v>
      </c>
      <c r="BN13" s="45">
        <v>5994970320</v>
      </c>
      <c r="BO13" s="45">
        <v>7349472340</v>
      </c>
      <c r="BP13" s="22">
        <v>136331</v>
      </c>
      <c r="BQ13" s="22">
        <v>136331</v>
      </c>
      <c r="BR13" s="22">
        <v>17990296</v>
      </c>
      <c r="BS13" s="22">
        <v>20292958</v>
      </c>
      <c r="BT13" s="58">
        <v>10979179468</v>
      </c>
      <c r="BU13" s="58">
        <v>15372105766</v>
      </c>
      <c r="BV13" s="22">
        <v>130724607</v>
      </c>
      <c r="BW13" s="22">
        <v>130724607</v>
      </c>
      <c r="BX13" s="45">
        <v>6018520000</v>
      </c>
      <c r="BY13" s="45">
        <v>2517845770</v>
      </c>
      <c r="BZ13" s="22"/>
      <c r="CA13" s="22"/>
      <c r="CB13" s="45">
        <v>186038156273</v>
      </c>
      <c r="CC13" s="45">
        <v>189823244519</v>
      </c>
    </row>
    <row r="14" spans="1:81" ht="24.75" customHeight="1" x14ac:dyDescent="0.2">
      <c r="A14" s="39" t="s">
        <v>47</v>
      </c>
      <c r="B14" s="53">
        <f t="shared" ref="B14:G14" si="9">+B12+B13</f>
        <v>447590675333.85999</v>
      </c>
      <c r="C14" s="53">
        <f t="shared" si="9"/>
        <v>501128424021.95001</v>
      </c>
      <c r="D14" s="152">
        <f t="shared" si="9"/>
        <v>108911</v>
      </c>
      <c r="E14" s="152">
        <f t="shared" si="9"/>
        <v>646859</v>
      </c>
      <c r="F14" s="152">
        <f t="shared" si="9"/>
        <v>631883</v>
      </c>
      <c r="G14" s="152">
        <f t="shared" si="9"/>
        <v>655556</v>
      </c>
      <c r="H14" s="44">
        <f t="shared" ref="H14:M14" si="10">+H12+H13</f>
        <v>2952979071</v>
      </c>
      <c r="I14" s="44">
        <f t="shared" si="10"/>
        <v>3483449635</v>
      </c>
      <c r="J14" s="44">
        <f t="shared" si="10"/>
        <v>451721122</v>
      </c>
      <c r="K14" s="44">
        <f t="shared" si="10"/>
        <v>775857950</v>
      </c>
      <c r="L14" s="153">
        <f t="shared" si="10"/>
        <v>11874316</v>
      </c>
      <c r="M14" s="153">
        <f t="shared" si="10"/>
        <v>11874316</v>
      </c>
      <c r="N14" s="53">
        <f t="shared" ref="N14:W14" si="11">+N12+N13</f>
        <v>462746000</v>
      </c>
      <c r="O14" s="53">
        <f t="shared" si="11"/>
        <v>414033000</v>
      </c>
      <c r="P14" s="152">
        <f t="shared" si="11"/>
        <v>0</v>
      </c>
      <c r="Q14" s="152">
        <f t="shared" si="11"/>
        <v>0</v>
      </c>
      <c r="R14" s="53">
        <f t="shared" si="11"/>
        <v>108106900</v>
      </c>
      <c r="S14" s="53">
        <f t="shared" si="11"/>
        <v>90785302</v>
      </c>
      <c r="T14" s="57">
        <f t="shared" si="11"/>
        <v>652285321</v>
      </c>
      <c r="U14" s="57">
        <f t="shared" si="11"/>
        <v>729786009</v>
      </c>
      <c r="V14" s="53">
        <f t="shared" si="11"/>
        <v>0</v>
      </c>
      <c r="W14" s="53">
        <f t="shared" si="11"/>
        <v>0</v>
      </c>
      <c r="X14" s="53">
        <f t="shared" ref="X14:AE14" si="12">+X12+X13</f>
        <v>325604000</v>
      </c>
      <c r="Y14" s="53">
        <f t="shared" si="12"/>
        <v>139505223</v>
      </c>
      <c r="Z14" s="53">
        <f t="shared" si="12"/>
        <v>723668111</v>
      </c>
      <c r="AA14" s="53">
        <f t="shared" si="12"/>
        <v>1230414470</v>
      </c>
      <c r="AB14" s="53">
        <f t="shared" si="12"/>
        <v>522319333</v>
      </c>
      <c r="AC14" s="53">
        <f t="shared" si="12"/>
        <v>412987000</v>
      </c>
      <c r="AD14" s="53">
        <f t="shared" si="12"/>
        <v>2831993101.4200001</v>
      </c>
      <c r="AE14" s="53">
        <f t="shared" si="12"/>
        <v>2483187047.0100002</v>
      </c>
      <c r="AF14" s="53">
        <f>+AF12+AF13</f>
        <v>2219180659</v>
      </c>
      <c r="AG14" s="53">
        <f>+AG12+AG13</f>
        <v>2963297927</v>
      </c>
      <c r="AH14" s="53">
        <f>+AH12+AH13</f>
        <v>1201038021</v>
      </c>
      <c r="AI14" s="53">
        <f>+AI12+AI13</f>
        <v>365774104</v>
      </c>
      <c r="AJ14" s="59">
        <f t="shared" ref="AJ14:AQ14" si="13">+AJ12+AJ13</f>
        <v>1329477979</v>
      </c>
      <c r="AK14" s="59">
        <f t="shared" si="13"/>
        <v>8171043239</v>
      </c>
      <c r="AL14" s="53">
        <f t="shared" si="13"/>
        <v>72544400</v>
      </c>
      <c r="AM14" s="53">
        <f t="shared" si="13"/>
        <v>79704248</v>
      </c>
      <c r="AN14" s="53">
        <f t="shared" si="13"/>
        <v>1474050283</v>
      </c>
      <c r="AO14" s="53">
        <f t="shared" si="13"/>
        <v>3110554648</v>
      </c>
      <c r="AP14" s="53">
        <f t="shared" si="13"/>
        <v>634352848</v>
      </c>
      <c r="AQ14" s="53">
        <f t="shared" si="13"/>
        <v>787982387</v>
      </c>
      <c r="AR14" s="152">
        <f t="shared" ref="AR14:AW14" si="14">+AR12+AR13</f>
        <v>2754575</v>
      </c>
      <c r="AS14" s="152">
        <f t="shared" si="14"/>
        <v>1802999</v>
      </c>
      <c r="AT14" s="53">
        <f t="shared" si="14"/>
        <v>59817301309</v>
      </c>
      <c r="AU14" s="53">
        <f t="shared" si="14"/>
        <v>54949694168</v>
      </c>
      <c r="AV14" s="152">
        <f t="shared" si="14"/>
        <v>0</v>
      </c>
      <c r="AW14" s="152">
        <f t="shared" si="14"/>
        <v>0</v>
      </c>
      <c r="AX14" s="152">
        <f t="shared" ref="AX14:BC14" si="15">+AX12+AX13</f>
        <v>0</v>
      </c>
      <c r="AY14" s="152">
        <f t="shared" si="15"/>
        <v>0</v>
      </c>
      <c r="AZ14" s="152">
        <f t="shared" si="15"/>
        <v>164898000</v>
      </c>
      <c r="BA14" s="152">
        <f t="shared" si="15"/>
        <v>169734000</v>
      </c>
      <c r="BB14" s="53">
        <f t="shared" si="15"/>
        <v>1077583733.4400001</v>
      </c>
      <c r="BC14" s="53">
        <f t="shared" si="15"/>
        <v>548034422.94000006</v>
      </c>
      <c r="BD14" s="152">
        <f>+BD12+BD13</f>
        <v>0</v>
      </c>
      <c r="BE14" s="152">
        <f>+BE12+BE13</f>
        <v>0</v>
      </c>
      <c r="BF14" s="53">
        <f t="shared" ref="BF14:BM14" si="16">+BF12+BF13</f>
        <v>12995354859</v>
      </c>
      <c r="BG14" s="53">
        <f t="shared" si="16"/>
        <v>14743579185</v>
      </c>
      <c r="BH14" s="53">
        <f t="shared" si="16"/>
        <v>143450582</v>
      </c>
      <c r="BI14" s="53">
        <f t="shared" si="16"/>
        <v>282271963</v>
      </c>
      <c r="BJ14" s="53">
        <f t="shared" si="16"/>
        <v>1246801155</v>
      </c>
      <c r="BK14" s="53">
        <f t="shared" si="16"/>
        <v>2094598645</v>
      </c>
      <c r="BL14" s="53">
        <f t="shared" si="16"/>
        <v>2922722367</v>
      </c>
      <c r="BM14" s="53">
        <f t="shared" si="16"/>
        <v>2652458366</v>
      </c>
      <c r="BN14" s="53">
        <f t="shared" ref="BN14:CC14" si="17">+BN12+BN13</f>
        <v>7634771129</v>
      </c>
      <c r="BO14" s="53">
        <f t="shared" si="17"/>
        <v>9428728997</v>
      </c>
      <c r="BP14" s="152">
        <f t="shared" si="17"/>
        <v>149187</v>
      </c>
      <c r="BQ14" s="152">
        <f t="shared" si="17"/>
        <v>267147</v>
      </c>
      <c r="BR14" s="152">
        <f t="shared" si="17"/>
        <v>24638750</v>
      </c>
      <c r="BS14" s="152">
        <f t="shared" si="17"/>
        <v>31881922</v>
      </c>
      <c r="BT14" s="53">
        <f t="shared" si="17"/>
        <v>14245857429</v>
      </c>
      <c r="BU14" s="53">
        <f t="shared" si="17"/>
        <v>18682933554</v>
      </c>
      <c r="BV14" s="152">
        <f t="shared" si="17"/>
        <v>726664810</v>
      </c>
      <c r="BW14" s="152">
        <f t="shared" si="17"/>
        <v>913978637</v>
      </c>
      <c r="BX14" s="53">
        <v>6943299000</v>
      </c>
      <c r="BY14" s="53">
        <f t="shared" si="17"/>
        <v>3103628501</v>
      </c>
      <c r="BZ14" s="152">
        <f>+BZ12+BZ13</f>
        <v>6100000</v>
      </c>
      <c r="CA14" s="152">
        <f t="shared" si="17"/>
        <v>16980640</v>
      </c>
      <c r="CB14" s="53">
        <f t="shared" si="17"/>
        <v>323663646189</v>
      </c>
      <c r="CC14" s="53">
        <f t="shared" si="17"/>
        <v>368256311955</v>
      </c>
    </row>
    <row r="15" spans="1:81" ht="24.75" customHeight="1" x14ac:dyDescent="0.2">
      <c r="A15" s="40" t="s">
        <v>48</v>
      </c>
      <c r="B15" s="43"/>
      <c r="C15" s="43"/>
      <c r="D15" s="22"/>
      <c r="E15" s="22"/>
      <c r="F15" s="22"/>
      <c r="G15" s="22"/>
      <c r="H15" s="43"/>
      <c r="I15" s="43"/>
      <c r="J15" s="45"/>
      <c r="K15" s="45"/>
      <c r="L15" s="22"/>
      <c r="M15" s="22"/>
      <c r="N15" s="45"/>
      <c r="O15" s="45"/>
      <c r="P15" s="22"/>
      <c r="Q15" s="22"/>
      <c r="R15" s="45"/>
      <c r="S15" s="45"/>
      <c r="T15" s="50"/>
      <c r="U15" s="50"/>
      <c r="V15" s="45"/>
      <c r="W15" s="45"/>
      <c r="X15" s="45"/>
      <c r="Y15" s="45"/>
      <c r="Z15" s="45"/>
      <c r="AA15" s="45"/>
      <c r="AB15" s="45"/>
      <c r="AC15" s="45"/>
      <c r="AD15" s="45"/>
      <c r="AE15" s="45"/>
      <c r="AF15" s="45"/>
      <c r="AG15" s="45"/>
      <c r="AH15" s="45"/>
      <c r="AI15" s="45"/>
      <c r="AJ15" s="52"/>
      <c r="AK15" s="52"/>
      <c r="AL15" s="45"/>
      <c r="AM15" s="45"/>
      <c r="AN15" s="45"/>
      <c r="AO15" s="45"/>
      <c r="AP15" s="45"/>
      <c r="AQ15" s="45"/>
      <c r="AR15" s="22"/>
      <c r="AS15" s="22"/>
      <c r="AT15" s="45"/>
      <c r="AU15" s="45"/>
      <c r="AV15" s="22"/>
      <c r="AW15" s="22"/>
      <c r="AX15" s="22"/>
      <c r="AY15" s="22"/>
      <c r="AZ15" s="22"/>
      <c r="BA15" s="22"/>
      <c r="BB15" s="45"/>
      <c r="BC15" s="45"/>
      <c r="BD15" s="150"/>
      <c r="BE15" s="151"/>
      <c r="BF15" s="45"/>
      <c r="BG15" s="45"/>
      <c r="BH15" s="45"/>
      <c r="BI15" s="45"/>
      <c r="BJ15" s="45"/>
      <c r="BK15" s="45"/>
      <c r="BL15" s="45"/>
      <c r="BM15" s="45"/>
      <c r="BN15" s="45"/>
      <c r="BO15" s="45"/>
      <c r="BP15" s="22"/>
      <c r="BQ15" s="22"/>
      <c r="BR15" s="22"/>
      <c r="BS15" s="22"/>
      <c r="BT15" s="58"/>
      <c r="BU15" s="58"/>
      <c r="BV15" s="22"/>
      <c r="BW15" s="22"/>
      <c r="BX15" s="45"/>
      <c r="BY15" s="45"/>
      <c r="BZ15" s="23"/>
      <c r="CA15" s="23"/>
      <c r="CB15" s="45"/>
      <c r="CC15" s="45"/>
    </row>
    <row r="16" spans="1:81" s="63" customFormat="1" ht="24.75" customHeight="1" x14ac:dyDescent="0.2">
      <c r="A16" s="41" t="s">
        <v>49</v>
      </c>
      <c r="B16" s="43">
        <f t="shared" ref="B16:B25" si="18">+D16+F16+H16+J16+L16+N16+P16+R16+T16+V16+X16+Z16+AB16+AD16+AF16+AH16+AJ16+AL16+AN16+AP16+AR16+AT16+AV16+AX16+AZ16+BB16+BD16+BF16+BH16+BJ16+BL16+BN16+BP16+BR16+BT16+BV16+BX16+BZ16+CB16</f>
        <v>85061828796</v>
      </c>
      <c r="C16" s="43">
        <f t="shared" ref="C16:C25" si="19">+E16+G16+I16+K16+M16+O16+Q16+S16+U16+W16+Y16+AA16+AC16+AE16+AG16+AI16+AK16+AM16+AO16+AQ16+AS16+AU16+AW16+AY16+BA16+BC16+BE16+BG16+BI16+BK16+BM16+BO16+BQ16+BS16+BU16+BW16+BY16+CA16+CC16</f>
        <v>65400344764</v>
      </c>
      <c r="D16" s="22">
        <v>1350000</v>
      </c>
      <c r="E16" s="22">
        <v>1350000</v>
      </c>
      <c r="F16" s="22">
        <v>860000</v>
      </c>
      <c r="G16" s="22">
        <v>860000</v>
      </c>
      <c r="H16" s="43">
        <v>463500000</v>
      </c>
      <c r="I16" s="43">
        <v>463500000</v>
      </c>
      <c r="J16" s="45">
        <v>1586500000</v>
      </c>
      <c r="K16" s="45">
        <v>1586500000</v>
      </c>
      <c r="L16" s="22">
        <v>168000000</v>
      </c>
      <c r="M16" s="22">
        <v>168000000</v>
      </c>
      <c r="N16" s="45">
        <v>734000000</v>
      </c>
      <c r="O16" s="45">
        <v>734000000</v>
      </c>
      <c r="P16" s="22"/>
      <c r="Q16" s="22"/>
      <c r="R16" s="45">
        <v>970000000</v>
      </c>
      <c r="S16" s="45">
        <v>970000000</v>
      </c>
      <c r="T16" s="50">
        <v>650000000</v>
      </c>
      <c r="U16" s="50">
        <v>650000000</v>
      </c>
      <c r="V16" s="45"/>
      <c r="W16" s="45"/>
      <c r="X16" s="45">
        <v>1200000000</v>
      </c>
      <c r="Y16" s="45">
        <v>1200000000</v>
      </c>
      <c r="Z16" s="45">
        <v>1400000000</v>
      </c>
      <c r="AA16" s="45">
        <v>1400000000</v>
      </c>
      <c r="AB16" s="45">
        <v>500000000</v>
      </c>
      <c r="AC16" s="45">
        <v>500000000</v>
      </c>
      <c r="AD16" s="45">
        <v>771370000</v>
      </c>
      <c r="AE16" s="45">
        <v>771370000</v>
      </c>
      <c r="AF16" s="45">
        <v>1344000000</v>
      </c>
      <c r="AG16" s="45">
        <v>1344000000</v>
      </c>
      <c r="AH16" s="45">
        <v>1500000000</v>
      </c>
      <c r="AI16" s="45">
        <v>1500000000</v>
      </c>
      <c r="AJ16" s="52">
        <v>1050000000</v>
      </c>
      <c r="AK16" s="52">
        <v>1050000000</v>
      </c>
      <c r="AL16" s="45">
        <v>623710</v>
      </c>
      <c r="AM16" s="45">
        <v>623710</v>
      </c>
      <c r="AN16" s="45">
        <v>1100000000</v>
      </c>
      <c r="AO16" s="45">
        <v>1100000000</v>
      </c>
      <c r="AP16" s="45">
        <v>1501710029</v>
      </c>
      <c r="AQ16" s="45">
        <v>1501710029</v>
      </c>
      <c r="AR16" s="22">
        <v>2506400</v>
      </c>
      <c r="AS16" s="22">
        <v>2506400</v>
      </c>
      <c r="AT16" s="45">
        <v>1622250000</v>
      </c>
      <c r="AU16" s="45">
        <v>1622250000</v>
      </c>
      <c r="AV16" s="22"/>
      <c r="AW16" s="22"/>
      <c r="AX16" s="22"/>
      <c r="AY16" s="22"/>
      <c r="AZ16" s="22">
        <v>4500000</v>
      </c>
      <c r="BA16" s="22">
        <v>4500000</v>
      </c>
      <c r="BB16" s="45">
        <v>350000000</v>
      </c>
      <c r="BC16" s="45">
        <v>350000000</v>
      </c>
      <c r="BD16" s="150"/>
      <c r="BE16" s="151"/>
      <c r="BF16" s="45">
        <v>1042943000</v>
      </c>
      <c r="BG16" s="45">
        <v>1042943000</v>
      </c>
      <c r="BH16" s="45">
        <v>800000000</v>
      </c>
      <c r="BI16" s="45">
        <v>800000000</v>
      </c>
      <c r="BJ16" s="45">
        <v>2440527492</v>
      </c>
      <c r="BK16" s="45">
        <v>2440527492</v>
      </c>
      <c r="BL16" s="45">
        <v>4000000000</v>
      </c>
      <c r="BM16" s="45">
        <v>4000000000</v>
      </c>
      <c r="BN16" s="45"/>
      <c r="BO16" s="45"/>
      <c r="BP16" s="22">
        <v>215000</v>
      </c>
      <c r="BQ16" s="22">
        <v>215000</v>
      </c>
      <c r="BR16" s="22">
        <v>11504727</v>
      </c>
      <c r="BS16" s="22">
        <v>11504727</v>
      </c>
      <c r="BT16" s="58">
        <v>2899796742</v>
      </c>
      <c r="BU16" s="58">
        <v>2899796741</v>
      </c>
      <c r="BV16" s="22">
        <v>1684650000</v>
      </c>
      <c r="BW16" s="22">
        <v>1684650000</v>
      </c>
      <c r="BX16" s="45">
        <v>500000000</v>
      </c>
      <c r="BY16" s="45">
        <v>500000000</v>
      </c>
      <c r="BZ16" s="23">
        <v>180000000</v>
      </c>
      <c r="CA16" s="23">
        <v>180000000</v>
      </c>
      <c r="CB16" s="45">
        <v>54581021696</v>
      </c>
      <c r="CC16" s="45">
        <v>34919537665</v>
      </c>
    </row>
    <row r="17" spans="1:81" ht="24.75" customHeight="1" x14ac:dyDescent="0.2">
      <c r="A17" s="41" t="s">
        <v>50</v>
      </c>
      <c r="B17" s="43">
        <f t="shared" si="18"/>
        <v>3240801364.8899999</v>
      </c>
      <c r="C17" s="43">
        <f t="shared" si="19"/>
        <v>3801675468.8899999</v>
      </c>
      <c r="D17" s="22">
        <v>22281</v>
      </c>
      <c r="E17" s="22">
        <v>22281</v>
      </c>
      <c r="F17" s="22">
        <v>22372</v>
      </c>
      <c r="G17" s="22">
        <v>22372</v>
      </c>
      <c r="H17" s="45">
        <v>39509153</v>
      </c>
      <c r="I17" s="45">
        <v>58149217</v>
      </c>
      <c r="J17" s="45"/>
      <c r="K17" s="45"/>
      <c r="L17" s="22">
        <v>-30979310</v>
      </c>
      <c r="M17" s="22">
        <v>-30979310</v>
      </c>
      <c r="N17" s="45">
        <v>18000000</v>
      </c>
      <c r="O17" s="45">
        <v>18000000</v>
      </c>
      <c r="P17" s="22"/>
      <c r="Q17" s="22"/>
      <c r="R17" s="45"/>
      <c r="S17" s="45"/>
      <c r="T17" s="58">
        <v>76169880</v>
      </c>
      <c r="U17" s="58">
        <v>76169880</v>
      </c>
      <c r="V17" s="45"/>
      <c r="W17" s="45"/>
      <c r="X17" s="45">
        <v>20142163</v>
      </c>
      <c r="Y17" s="45">
        <v>31814148</v>
      </c>
      <c r="Z17" s="45"/>
      <c r="AA17" s="45"/>
      <c r="AB17" s="45">
        <v>92331000</v>
      </c>
      <c r="AC17" s="45">
        <v>92331000</v>
      </c>
      <c r="AD17" s="45">
        <v>48771842.890000001</v>
      </c>
      <c r="AE17" s="45">
        <v>48771842.890000001</v>
      </c>
      <c r="AF17" s="45">
        <v>378478626</v>
      </c>
      <c r="AG17" s="45">
        <v>479178405</v>
      </c>
      <c r="AH17" s="45"/>
      <c r="AI17" s="45"/>
      <c r="AJ17" s="52">
        <v>0</v>
      </c>
      <c r="AK17" s="52">
        <v>86590263</v>
      </c>
      <c r="AL17" s="45">
        <v>122297</v>
      </c>
      <c r="AM17" s="45">
        <v>122297</v>
      </c>
      <c r="AN17" s="45">
        <v>26345638</v>
      </c>
      <c r="AO17" s="45">
        <v>166887459</v>
      </c>
      <c r="AP17" s="45">
        <v>21404079</v>
      </c>
      <c r="AQ17" s="45">
        <v>21404079</v>
      </c>
      <c r="AR17" s="22">
        <v>726421</v>
      </c>
      <c r="AS17" s="22">
        <v>726421</v>
      </c>
      <c r="AT17" s="45">
        <v>1162074110</v>
      </c>
      <c r="AU17" s="45">
        <v>1162074110</v>
      </c>
      <c r="AV17" s="22"/>
      <c r="AW17" s="22"/>
      <c r="AX17" s="22"/>
      <c r="AY17" s="22"/>
      <c r="AZ17" s="22"/>
      <c r="BA17" s="22"/>
      <c r="BB17" s="45">
        <v>135235174</v>
      </c>
      <c r="BC17" s="45">
        <v>149752440</v>
      </c>
      <c r="BD17" s="151"/>
      <c r="BE17" s="22"/>
      <c r="BF17" s="45">
        <v>710106698</v>
      </c>
      <c r="BG17" s="45">
        <v>710106698</v>
      </c>
      <c r="BH17" s="45">
        <v>39261789</v>
      </c>
      <c r="BI17" s="45">
        <v>0</v>
      </c>
      <c r="BJ17" s="45"/>
      <c r="BK17" s="45"/>
      <c r="BL17" s="45">
        <v>77184994</v>
      </c>
      <c r="BM17" s="45">
        <v>77184994</v>
      </c>
      <c r="BN17" s="45">
        <v>420602653</v>
      </c>
      <c r="BO17" s="45">
        <v>563996201</v>
      </c>
      <c r="BP17" s="22"/>
      <c r="BQ17" s="22">
        <v>21188</v>
      </c>
      <c r="BR17" s="22">
        <v>547452</v>
      </c>
      <c r="BS17" s="22">
        <v>547452</v>
      </c>
      <c r="BT17" s="45"/>
      <c r="BU17" s="45"/>
      <c r="BV17" s="22">
        <v>4722052</v>
      </c>
      <c r="BW17" s="22">
        <v>4722052</v>
      </c>
      <c r="BX17" s="45"/>
      <c r="BY17" s="45">
        <v>84059979</v>
      </c>
      <c r="BZ17" s="22"/>
      <c r="CA17" s="22"/>
      <c r="CB17" s="45"/>
      <c r="CC17" s="45"/>
    </row>
    <row r="18" spans="1:81" ht="24.75" customHeight="1" x14ac:dyDescent="0.2">
      <c r="A18" s="41" t="s">
        <v>51</v>
      </c>
      <c r="B18" s="43">
        <f t="shared" si="18"/>
        <v>282169957</v>
      </c>
      <c r="C18" s="43">
        <f t="shared" si="19"/>
        <v>4014549216</v>
      </c>
      <c r="D18" s="22"/>
      <c r="E18" s="22"/>
      <c r="F18" s="22">
        <v>920134</v>
      </c>
      <c r="G18" s="22">
        <v>0</v>
      </c>
      <c r="H18" s="45"/>
      <c r="I18" s="45"/>
      <c r="J18" s="45"/>
      <c r="K18" s="45"/>
      <c r="L18" s="22"/>
      <c r="M18" s="22"/>
      <c r="N18" s="45"/>
      <c r="O18" s="45"/>
      <c r="P18" s="22"/>
      <c r="Q18" s="22"/>
      <c r="R18" s="45"/>
      <c r="S18" s="45"/>
      <c r="T18" s="50"/>
      <c r="U18" s="50"/>
      <c r="V18" s="45"/>
      <c r="W18" s="45"/>
      <c r="X18" s="45"/>
      <c r="Y18" s="45"/>
      <c r="Z18" s="45"/>
      <c r="AA18" s="45"/>
      <c r="AB18" s="45"/>
      <c r="AC18" s="45"/>
      <c r="AD18" s="45"/>
      <c r="AE18" s="45"/>
      <c r="AF18" s="45"/>
      <c r="AG18" s="45"/>
      <c r="AH18" s="45"/>
      <c r="AI18" s="45"/>
      <c r="AJ18" s="52">
        <v>0</v>
      </c>
      <c r="AK18" s="52">
        <v>3733299393</v>
      </c>
      <c r="AL18" s="45"/>
      <c r="AM18" s="45"/>
      <c r="AN18" s="45"/>
      <c r="AO18" s="45"/>
      <c r="AP18" s="45"/>
      <c r="AQ18" s="45"/>
      <c r="AR18" s="22"/>
      <c r="AS18" s="22"/>
      <c r="AT18" s="45"/>
      <c r="AU18" s="45"/>
      <c r="AV18" s="22"/>
      <c r="AW18" s="22"/>
      <c r="AX18" s="22"/>
      <c r="AY18" s="22"/>
      <c r="AZ18" s="22"/>
      <c r="BA18" s="22"/>
      <c r="BB18" s="45"/>
      <c r="BC18" s="45"/>
      <c r="BD18" s="150"/>
      <c r="BE18" s="151"/>
      <c r="BF18" s="45"/>
      <c r="BG18" s="45"/>
      <c r="BH18" s="45"/>
      <c r="BI18" s="45"/>
      <c r="BJ18" s="45"/>
      <c r="BK18" s="45"/>
      <c r="BL18" s="45">
        <v>281249823</v>
      </c>
      <c r="BM18" s="45">
        <v>281249823</v>
      </c>
      <c r="BN18" s="45"/>
      <c r="BO18" s="45"/>
      <c r="BP18" s="22"/>
      <c r="BQ18" s="22"/>
      <c r="BR18" s="22"/>
      <c r="BS18" s="22"/>
      <c r="BT18" s="45"/>
      <c r="BU18" s="45"/>
      <c r="BV18" s="22"/>
      <c r="BW18" s="22"/>
      <c r="BX18" s="45"/>
      <c r="BY18" s="45"/>
      <c r="BZ18" s="22"/>
      <c r="CA18" s="22"/>
      <c r="CB18" s="45"/>
      <c r="CC18" s="45"/>
    </row>
    <row r="19" spans="1:81" s="63" customFormat="1" ht="24.75" customHeight="1" x14ac:dyDescent="0.2">
      <c r="A19" s="41" t="s">
        <v>52</v>
      </c>
      <c r="B19" s="43">
        <f t="shared" si="18"/>
        <v>3017697036</v>
      </c>
      <c r="C19" s="43">
        <f t="shared" si="19"/>
        <v>5017697036</v>
      </c>
      <c r="D19" s="22"/>
      <c r="E19" s="22"/>
      <c r="F19" s="22"/>
      <c r="G19" s="22"/>
      <c r="H19" s="43"/>
      <c r="I19" s="43"/>
      <c r="J19" s="45"/>
      <c r="K19" s="45"/>
      <c r="L19" s="22"/>
      <c r="M19" s="22"/>
      <c r="N19" s="45"/>
      <c r="O19" s="45"/>
      <c r="P19" s="22"/>
      <c r="Q19" s="22"/>
      <c r="R19" s="45"/>
      <c r="S19" s="45"/>
      <c r="T19" s="50"/>
      <c r="U19" s="50"/>
      <c r="V19" s="45"/>
      <c r="W19" s="45"/>
      <c r="X19" s="45"/>
      <c r="Y19" s="45"/>
      <c r="Z19" s="45">
        <v>241625199</v>
      </c>
      <c r="AA19" s="45">
        <v>241625199</v>
      </c>
      <c r="AB19" s="45"/>
      <c r="AC19" s="45"/>
      <c r="AD19" s="45"/>
      <c r="AE19" s="45"/>
      <c r="AF19" s="45"/>
      <c r="AG19" s="45"/>
      <c r="AH19" s="45"/>
      <c r="AI19" s="45"/>
      <c r="AJ19" s="52"/>
      <c r="AK19" s="52"/>
      <c r="AL19" s="45">
        <v>15745156</v>
      </c>
      <c r="AM19" s="45">
        <v>15745156</v>
      </c>
      <c r="AN19" s="45">
        <v>1247084526</v>
      </c>
      <c r="AO19" s="45">
        <v>1247084526</v>
      </c>
      <c r="AP19" s="45"/>
      <c r="AQ19" s="45"/>
      <c r="AR19" s="22"/>
      <c r="AS19" s="22"/>
      <c r="AT19" s="45"/>
      <c r="AU19" s="45"/>
      <c r="AV19" s="22"/>
      <c r="AW19" s="22"/>
      <c r="AX19" s="22"/>
      <c r="AY19" s="22"/>
      <c r="AZ19" s="22">
        <v>13322000</v>
      </c>
      <c r="BA19" s="22">
        <v>13322000</v>
      </c>
      <c r="BB19" s="45"/>
      <c r="BC19" s="45"/>
      <c r="BD19" s="22"/>
      <c r="BE19" s="22"/>
      <c r="BF19" s="45">
        <v>0</v>
      </c>
      <c r="BG19" s="45">
        <v>2000000000</v>
      </c>
      <c r="BH19" s="45"/>
      <c r="BI19" s="45"/>
      <c r="BJ19" s="45"/>
      <c r="BK19" s="45"/>
      <c r="BL19" s="45"/>
      <c r="BM19" s="45"/>
      <c r="BN19" s="45">
        <v>1500000000</v>
      </c>
      <c r="BO19" s="45">
        <v>1500000000</v>
      </c>
      <c r="BP19" s="22"/>
      <c r="BQ19" s="22"/>
      <c r="BR19" s="22">
        <v>-79845</v>
      </c>
      <c r="BS19" s="22">
        <v>-79845</v>
      </c>
      <c r="BT19" s="58"/>
      <c r="BU19" s="58"/>
      <c r="BV19" s="22"/>
      <c r="BW19" s="22"/>
      <c r="BX19" s="45"/>
      <c r="BY19" s="45"/>
      <c r="BZ19" s="22"/>
      <c r="CA19" s="22"/>
      <c r="CB19" s="45"/>
      <c r="CC19" s="45"/>
    </row>
    <row r="20" spans="1:81" ht="24.75" customHeight="1" x14ac:dyDescent="0.2">
      <c r="A20" s="41" t="s">
        <v>53</v>
      </c>
      <c r="B20" s="43">
        <f t="shared" si="18"/>
        <v>1926753582.5999999</v>
      </c>
      <c r="C20" s="43">
        <f t="shared" si="19"/>
        <v>-72607856.400000095</v>
      </c>
      <c r="D20" s="22">
        <v>38912</v>
      </c>
      <c r="E20" s="22">
        <v>0</v>
      </c>
      <c r="F20" s="22"/>
      <c r="G20" s="22"/>
      <c r="H20" s="43"/>
      <c r="I20" s="43"/>
      <c r="J20" s="45"/>
      <c r="K20" s="45"/>
      <c r="L20" s="22">
        <v>414856476</v>
      </c>
      <c r="M20" s="22">
        <v>414856476</v>
      </c>
      <c r="N20" s="45">
        <v>204777000</v>
      </c>
      <c r="O20" s="45">
        <v>204777000</v>
      </c>
      <c r="P20" s="22"/>
      <c r="Q20" s="22"/>
      <c r="R20" s="45"/>
      <c r="S20" s="45"/>
      <c r="T20" s="50">
        <v>1108172194</v>
      </c>
      <c r="U20" s="50">
        <v>1108849667</v>
      </c>
      <c r="V20" s="45"/>
      <c r="W20" s="45"/>
      <c r="X20" s="45"/>
      <c r="Y20" s="45"/>
      <c r="Z20" s="45"/>
      <c r="AA20" s="45"/>
      <c r="AB20" s="45"/>
      <c r="AC20" s="45"/>
      <c r="AD20" s="45">
        <v>362169000.60000002</v>
      </c>
      <c r="AE20" s="45">
        <v>362169000.60000002</v>
      </c>
      <c r="AF20" s="45"/>
      <c r="AG20" s="45"/>
      <c r="AH20" s="45"/>
      <c r="AI20" s="45"/>
      <c r="AJ20" s="52">
        <v>90000</v>
      </c>
      <c r="AK20" s="52">
        <v>90000</v>
      </c>
      <c r="AL20" s="45"/>
      <c r="AM20" s="45"/>
      <c r="AN20" s="45"/>
      <c r="AO20" s="45"/>
      <c r="AP20" s="45">
        <v>-163350000</v>
      </c>
      <c r="AQ20" s="45">
        <v>-163350000</v>
      </c>
      <c r="AR20" s="22"/>
      <c r="AS20" s="22"/>
      <c r="AT20" s="45"/>
      <c r="AU20" s="45"/>
      <c r="AV20" s="22"/>
      <c r="AW20" s="22"/>
      <c r="AX20" s="22"/>
      <c r="AY20" s="22"/>
      <c r="AZ20" s="22"/>
      <c r="BA20" s="22"/>
      <c r="BB20" s="45"/>
      <c r="BC20" s="45"/>
      <c r="BD20" s="22"/>
      <c r="BE20" s="22"/>
      <c r="BF20" s="45">
        <v>0</v>
      </c>
      <c r="BG20" s="45">
        <v>-2000000000</v>
      </c>
      <c r="BH20" s="45"/>
      <c r="BI20" s="45"/>
      <c r="BJ20" s="45"/>
      <c r="BK20" s="45"/>
      <c r="BL20" s="45"/>
      <c r="BM20" s="45"/>
      <c r="BN20" s="45"/>
      <c r="BO20" s="45"/>
      <c r="BP20" s="22"/>
      <c r="BQ20" s="22"/>
      <c r="BR20" s="22"/>
      <c r="BS20" s="22"/>
      <c r="BT20" s="58"/>
      <c r="BU20" s="58"/>
      <c r="BV20" s="22"/>
      <c r="BW20" s="22"/>
      <c r="BX20" s="45"/>
      <c r="BY20" s="45"/>
      <c r="BZ20" s="22"/>
      <c r="CA20" s="22"/>
      <c r="CB20" s="45"/>
      <c r="CC20" s="45"/>
    </row>
    <row r="21" spans="1:81" ht="24.75" customHeight="1" x14ac:dyDescent="0.2">
      <c r="A21" s="41" t="s">
        <v>54</v>
      </c>
      <c r="B21" s="43">
        <f t="shared" si="18"/>
        <v>16187606561.499998</v>
      </c>
      <c r="C21" s="43">
        <f t="shared" si="19"/>
        <v>16865884751.760002</v>
      </c>
      <c r="D21" s="22">
        <v>16563</v>
      </c>
      <c r="E21" s="22">
        <v>-51342</v>
      </c>
      <c r="F21" s="22">
        <v>-333654</v>
      </c>
      <c r="G21" s="146">
        <v>7233</v>
      </c>
      <c r="H21" s="43">
        <v>186401431</v>
      </c>
      <c r="I21" s="43">
        <v>120755660</v>
      </c>
      <c r="J21" s="45">
        <v>15687954</v>
      </c>
      <c r="K21" s="45">
        <v>16557360</v>
      </c>
      <c r="L21" s="22">
        <v>-20753524</v>
      </c>
      <c r="M21" s="22">
        <v>-20753524</v>
      </c>
      <c r="N21" s="45">
        <v>40756000</v>
      </c>
      <c r="O21" s="45">
        <v>41052000</v>
      </c>
      <c r="P21" s="22"/>
      <c r="Q21" s="22"/>
      <c r="R21" s="45">
        <v>31600620</v>
      </c>
      <c r="S21" s="45">
        <v>36224503</v>
      </c>
      <c r="T21" s="50">
        <v>6502500</v>
      </c>
      <c r="U21" s="50">
        <v>27652924</v>
      </c>
      <c r="V21" s="45"/>
      <c r="W21" s="45"/>
      <c r="X21" s="45">
        <v>88033752</v>
      </c>
      <c r="Y21" s="45">
        <v>105047865</v>
      </c>
      <c r="Z21" s="45">
        <v>164380850</v>
      </c>
      <c r="AA21" s="45">
        <v>14595326</v>
      </c>
      <c r="AB21" s="45">
        <v>9714000</v>
      </c>
      <c r="AC21" s="45">
        <v>42984000</v>
      </c>
      <c r="AD21" s="45">
        <v>275763469.02999997</v>
      </c>
      <c r="AE21" s="45">
        <v>257560606.44999999</v>
      </c>
      <c r="AF21" s="45">
        <v>1006997791</v>
      </c>
      <c r="AG21" s="45">
        <v>1110745323</v>
      </c>
      <c r="AH21" s="45">
        <v>165898130</v>
      </c>
      <c r="AI21" s="45">
        <v>49388655</v>
      </c>
      <c r="AJ21" s="52">
        <v>335977763</v>
      </c>
      <c r="AK21" s="52">
        <v>779312371</v>
      </c>
      <c r="AL21" s="45">
        <v>-4997937</v>
      </c>
      <c r="AM21" s="45">
        <v>-2167622</v>
      </c>
      <c r="AN21" s="45">
        <v>1405418206</v>
      </c>
      <c r="AO21" s="45">
        <v>1384631142</v>
      </c>
      <c r="AP21" s="45">
        <v>130092002</v>
      </c>
      <c r="AQ21" s="45">
        <v>295959880</v>
      </c>
      <c r="AR21" s="22">
        <v>2897162</v>
      </c>
      <c r="AS21" s="22">
        <v>3156313</v>
      </c>
      <c r="AT21" s="45">
        <v>5323056088</v>
      </c>
      <c r="AU21" s="45">
        <v>12393985113</v>
      </c>
      <c r="AV21" s="22"/>
      <c r="AW21" s="22"/>
      <c r="AX21" s="22"/>
      <c r="AY21" s="22"/>
      <c r="AZ21" s="22">
        <v>-4695000</v>
      </c>
      <c r="BA21" s="22">
        <v>-4521000</v>
      </c>
      <c r="BB21" s="45">
        <v>145172656.47</v>
      </c>
      <c r="BC21" s="45">
        <v>114136815.31</v>
      </c>
      <c r="BD21" s="150"/>
      <c r="BE21" s="150"/>
      <c r="BF21" s="45">
        <v>609089150</v>
      </c>
      <c r="BG21" s="45">
        <v>2124039413</v>
      </c>
      <c r="BH21" s="45">
        <v>110990727</v>
      </c>
      <c r="BI21" s="45">
        <v>124741950</v>
      </c>
      <c r="BJ21" s="45">
        <v>175605475</v>
      </c>
      <c r="BK21" s="45">
        <v>111287149</v>
      </c>
      <c r="BL21" s="45">
        <v>263641941</v>
      </c>
      <c r="BM21" s="45">
        <v>397447077</v>
      </c>
      <c r="BN21" s="45">
        <v>1433935479</v>
      </c>
      <c r="BO21" s="45">
        <v>1806042838</v>
      </c>
      <c r="BP21" s="22"/>
      <c r="BQ21" s="22">
        <v>24447</v>
      </c>
      <c r="BR21" s="22"/>
      <c r="BS21" s="22"/>
      <c r="BT21" s="58">
        <v>4275499143</v>
      </c>
      <c r="BU21" s="58">
        <v>-4329251182</v>
      </c>
      <c r="BV21" s="22">
        <v>15257824</v>
      </c>
      <c r="BW21" s="22">
        <v>4462954</v>
      </c>
      <c r="BX21" s="45"/>
      <c r="BY21" s="45">
        <v>-167480496</v>
      </c>
      <c r="BZ21" s="22"/>
      <c r="CA21" s="22">
        <v>28311000</v>
      </c>
      <c r="CB21" s="45"/>
      <c r="CC21" s="45"/>
    </row>
    <row r="22" spans="1:81" s="63" customFormat="1" ht="24.75" customHeight="1" x14ac:dyDescent="0.2">
      <c r="A22" s="41" t="s">
        <v>55</v>
      </c>
      <c r="B22" s="43">
        <f t="shared" si="18"/>
        <v>59262208835.600006</v>
      </c>
      <c r="C22" s="43">
        <f t="shared" si="19"/>
        <v>71338593498.180008</v>
      </c>
      <c r="D22" s="22">
        <v>148852</v>
      </c>
      <c r="E22" s="22">
        <v>0</v>
      </c>
      <c r="F22" s="22">
        <v>86541</v>
      </c>
      <c r="G22" s="22">
        <v>673020</v>
      </c>
      <c r="H22" s="43">
        <v>609163363</v>
      </c>
      <c r="I22" s="43">
        <v>407273255</v>
      </c>
      <c r="J22" s="45">
        <v>705871614</v>
      </c>
      <c r="K22" s="45">
        <v>721559569</v>
      </c>
      <c r="L22" s="22">
        <v>-450556566</v>
      </c>
      <c r="M22" s="22">
        <v>-450556566</v>
      </c>
      <c r="N22" s="45">
        <v>222203000</v>
      </c>
      <c r="O22" s="45">
        <v>253271000</v>
      </c>
      <c r="P22" s="22"/>
      <c r="Q22" s="22"/>
      <c r="R22" s="45">
        <v>80367374</v>
      </c>
      <c r="S22" s="45">
        <v>90091681</v>
      </c>
      <c r="T22" s="58">
        <v>683624105</v>
      </c>
      <c r="U22" s="58">
        <v>690126605</v>
      </c>
      <c r="V22" s="45"/>
      <c r="W22" s="45"/>
      <c r="X22" s="45">
        <v>93247715</v>
      </c>
      <c r="Y22" s="45">
        <v>181281467</v>
      </c>
      <c r="Z22" s="45">
        <v>1109444454</v>
      </c>
      <c r="AA22" s="45">
        <v>1273825303</v>
      </c>
      <c r="AB22" s="45">
        <v>-10736887</v>
      </c>
      <c r="AC22" s="45">
        <v>-1023000</v>
      </c>
      <c r="AD22" s="45">
        <v>1785871762.6099999</v>
      </c>
      <c r="AE22" s="45">
        <v>1992214300.72</v>
      </c>
      <c r="AF22" s="45">
        <v>2550681849</v>
      </c>
      <c r="AG22" s="45">
        <v>3456979862</v>
      </c>
      <c r="AH22" s="45">
        <v>-310675151</v>
      </c>
      <c r="AI22" s="45">
        <v>-144777021</v>
      </c>
      <c r="AJ22" s="52">
        <v>-260915450</v>
      </c>
      <c r="AK22" s="52">
        <v>75062313</v>
      </c>
      <c r="AL22" s="45">
        <v>-18338061</v>
      </c>
      <c r="AM22" s="45">
        <v>-23335998</v>
      </c>
      <c r="AN22" s="45">
        <v>1161082671</v>
      </c>
      <c r="AO22" s="45">
        <v>1908090524</v>
      </c>
      <c r="AP22" s="45">
        <v>-451727017</v>
      </c>
      <c r="AQ22" s="45">
        <v>-321635015</v>
      </c>
      <c r="AR22" s="22">
        <v>1731670</v>
      </c>
      <c r="AS22" s="22">
        <v>1731670</v>
      </c>
      <c r="AT22" s="45">
        <v>56207597685</v>
      </c>
      <c r="AU22" s="45">
        <v>61530653773</v>
      </c>
      <c r="AV22" s="22"/>
      <c r="AW22" s="22"/>
      <c r="AX22" s="22"/>
      <c r="AY22" s="22"/>
      <c r="AZ22" s="22">
        <v>-9902000</v>
      </c>
      <c r="BA22" s="22">
        <v>-14597000</v>
      </c>
      <c r="BB22" s="45">
        <v>900330971.99000001</v>
      </c>
      <c r="BC22" s="45">
        <v>1030986362.46</v>
      </c>
      <c r="BD22" s="151"/>
      <c r="BE22" s="151"/>
      <c r="BF22" s="45">
        <v>4887840922</v>
      </c>
      <c r="BG22" s="45">
        <v>3496930073</v>
      </c>
      <c r="BH22" s="45">
        <v>-17482854</v>
      </c>
      <c r="BI22" s="45">
        <v>132769662</v>
      </c>
      <c r="BJ22" s="45">
        <v>93956108</v>
      </c>
      <c r="BK22" s="45">
        <v>269561582</v>
      </c>
      <c r="BL22" s="45">
        <v>-1644500032</v>
      </c>
      <c r="BM22" s="45">
        <v>-1380858091</v>
      </c>
      <c r="BN22" s="45">
        <v>1860930765</v>
      </c>
      <c r="BO22" s="45">
        <v>3151472697</v>
      </c>
      <c r="BP22" s="22">
        <v>365978</v>
      </c>
      <c r="BQ22" s="22">
        <v>372174</v>
      </c>
      <c r="BR22" s="22">
        <v>-3050757</v>
      </c>
      <c r="BS22" s="22">
        <v>-10825576</v>
      </c>
      <c r="BT22" s="58">
        <v>-16435062411</v>
      </c>
      <c r="BU22" s="58">
        <v>-12159563268</v>
      </c>
      <c r="BV22" s="22">
        <v>39691621</v>
      </c>
      <c r="BW22" s="22">
        <v>54949445</v>
      </c>
      <c r="BX22" s="45">
        <v>5919857000</v>
      </c>
      <c r="BY22" s="45">
        <v>5149399280</v>
      </c>
      <c r="BZ22" s="22">
        <v>-38940000</v>
      </c>
      <c r="CA22" s="22">
        <v>-23510585</v>
      </c>
      <c r="CB22" s="45"/>
      <c r="CC22" s="45"/>
    </row>
    <row r="23" spans="1:81" s="63" customFormat="1" ht="24.75" customHeight="1" x14ac:dyDescent="0.2">
      <c r="A23" s="41" t="s">
        <v>56</v>
      </c>
      <c r="B23" s="43">
        <f t="shared" si="18"/>
        <v>-3157081338</v>
      </c>
      <c r="C23" s="43">
        <f t="shared" si="19"/>
        <v>-2661186199</v>
      </c>
      <c r="D23" s="22"/>
      <c r="E23" s="22"/>
      <c r="F23" s="22"/>
      <c r="G23" s="22"/>
      <c r="H23" s="43"/>
      <c r="I23" s="43"/>
      <c r="J23" s="45"/>
      <c r="K23" s="45"/>
      <c r="L23" s="22"/>
      <c r="M23" s="22"/>
      <c r="N23" s="45"/>
      <c r="O23" s="45"/>
      <c r="P23" s="22"/>
      <c r="Q23" s="22"/>
      <c r="R23" s="45">
        <v>-21876313</v>
      </c>
      <c r="S23" s="45"/>
      <c r="T23" s="58"/>
      <c r="U23" s="58"/>
      <c r="V23" s="45"/>
      <c r="W23" s="45"/>
      <c r="X23" s="45">
        <v>110823370</v>
      </c>
      <c r="Y23" s="45">
        <v>110823370</v>
      </c>
      <c r="Z23" s="45">
        <v>-58684000</v>
      </c>
      <c r="AA23" s="45">
        <v>-58684000</v>
      </c>
      <c r="AB23" s="45"/>
      <c r="AC23" s="45"/>
      <c r="AD23" s="45"/>
      <c r="AE23" s="45"/>
      <c r="AF23" s="45">
        <v>-662454393</v>
      </c>
      <c r="AG23" s="45">
        <v>-662454393</v>
      </c>
      <c r="AH23" s="45"/>
      <c r="AI23" s="45"/>
      <c r="AJ23" s="52"/>
      <c r="AK23" s="52"/>
      <c r="AL23" s="45"/>
      <c r="AM23" s="45"/>
      <c r="AN23" s="45"/>
      <c r="AO23" s="45"/>
      <c r="AP23" s="45"/>
      <c r="AQ23" s="45"/>
      <c r="AR23" s="22"/>
      <c r="AS23" s="22"/>
      <c r="AT23" s="45">
        <v>-2442812442</v>
      </c>
      <c r="AU23" s="45">
        <v>-2442812442</v>
      </c>
      <c r="AV23" s="22"/>
      <c r="AW23" s="22"/>
      <c r="AX23" s="22"/>
      <c r="AY23" s="22"/>
      <c r="AZ23" s="22"/>
      <c r="BA23" s="22"/>
      <c r="BB23" s="45">
        <v>377469143</v>
      </c>
      <c r="BC23" s="45">
        <v>377469142</v>
      </c>
      <c r="BD23" s="151"/>
      <c r="BE23" s="151"/>
      <c r="BF23" s="45"/>
      <c r="BG23" s="45"/>
      <c r="BH23" s="45"/>
      <c r="BI23" s="45"/>
      <c r="BJ23" s="45">
        <v>-474527438</v>
      </c>
      <c r="BK23" s="45">
        <v>-474527438</v>
      </c>
      <c r="BL23" s="45">
        <v>106014396</v>
      </c>
      <c r="BM23" s="45">
        <v>106014396</v>
      </c>
      <c r="BN23" s="45">
        <v>205142245</v>
      </c>
      <c r="BO23" s="45">
        <v>205142245</v>
      </c>
      <c r="BP23" s="22">
        <v>27384</v>
      </c>
      <c r="BQ23" s="22"/>
      <c r="BR23" s="22"/>
      <c r="BS23" s="22"/>
      <c r="BT23" s="58"/>
      <c r="BU23" s="58"/>
      <c r="BV23" s="22">
        <v>-34657290</v>
      </c>
      <c r="BW23" s="22">
        <v>-34657290</v>
      </c>
      <c r="BX23" s="45">
        <v>-489476000</v>
      </c>
      <c r="BY23" s="45"/>
      <c r="BZ23" s="22">
        <v>227930000</v>
      </c>
      <c r="CA23" s="22">
        <v>212500211</v>
      </c>
      <c r="CB23" s="45"/>
      <c r="CC23" s="45"/>
    </row>
    <row r="24" spans="1:81" ht="24.75" customHeight="1" x14ac:dyDescent="0.2">
      <c r="A24" s="41" t="s">
        <v>57</v>
      </c>
      <c r="B24" s="43">
        <f t="shared" si="18"/>
        <v>36791095936.449997</v>
      </c>
      <c r="C24" s="43">
        <f t="shared" si="19"/>
        <v>37377208936.449997</v>
      </c>
      <c r="D24" s="22"/>
      <c r="E24" s="22"/>
      <c r="F24" s="22"/>
      <c r="G24" s="22"/>
      <c r="H24" s="45"/>
      <c r="I24" s="43"/>
      <c r="J24" s="45">
        <v>950000000</v>
      </c>
      <c r="K24" s="45">
        <v>950000000</v>
      </c>
      <c r="L24" s="22"/>
      <c r="M24" s="22"/>
      <c r="N24" s="45"/>
      <c r="O24" s="45"/>
      <c r="P24" s="22"/>
      <c r="Q24" s="22"/>
      <c r="R24" s="45"/>
      <c r="S24" s="45"/>
      <c r="T24" s="58"/>
      <c r="U24" s="58"/>
      <c r="V24" s="45"/>
      <c r="W24" s="45"/>
      <c r="X24" s="45"/>
      <c r="Y24" s="45"/>
      <c r="Z24" s="45"/>
      <c r="AA24" s="45"/>
      <c r="AB24" s="45"/>
      <c r="AC24" s="45"/>
      <c r="AD24" s="45">
        <v>194009577.44999999</v>
      </c>
      <c r="AE24" s="45">
        <v>194009577.44999999</v>
      </c>
      <c r="AF24" s="45"/>
      <c r="AG24" s="45"/>
      <c r="AH24" s="45"/>
      <c r="AI24" s="45"/>
      <c r="AJ24" s="52"/>
      <c r="AK24" s="52"/>
      <c r="AL24" s="45"/>
      <c r="AM24" s="45"/>
      <c r="AN24" s="45"/>
      <c r="AO24" s="45"/>
      <c r="AP24" s="45">
        <v>32000</v>
      </c>
      <c r="AQ24" s="45">
        <v>32000</v>
      </c>
      <c r="AR24" s="22"/>
      <c r="AS24" s="22"/>
      <c r="AT24" s="45">
        <v>15235103000</v>
      </c>
      <c r="AU24" s="45">
        <v>15821216000</v>
      </c>
      <c r="AV24" s="22"/>
      <c r="AW24" s="22"/>
      <c r="AX24" s="22"/>
      <c r="AY24" s="22"/>
      <c r="AZ24" s="22"/>
      <c r="BA24" s="22"/>
      <c r="BB24" s="45"/>
      <c r="BC24" s="45"/>
      <c r="BD24" s="151"/>
      <c r="BE24" s="22"/>
      <c r="BF24" s="45">
        <v>1492000000</v>
      </c>
      <c r="BG24" s="45">
        <v>1492000000</v>
      </c>
      <c r="BH24" s="45"/>
      <c r="BI24" s="45"/>
      <c r="BJ24" s="45"/>
      <c r="BK24" s="45"/>
      <c r="BL24" s="45">
        <v>550379360</v>
      </c>
      <c r="BM24" s="45">
        <v>550379360</v>
      </c>
      <c r="BN24" s="45"/>
      <c r="BO24" s="45"/>
      <c r="BP24" s="22"/>
      <c r="BQ24" s="22"/>
      <c r="BR24" s="22"/>
      <c r="BS24" s="22"/>
      <c r="BT24" s="45">
        <v>18369571999</v>
      </c>
      <c r="BU24" s="45">
        <v>18369571999</v>
      </c>
      <c r="BV24" s="22"/>
      <c r="BW24" s="22"/>
      <c r="BX24" s="45"/>
      <c r="BY24" s="45"/>
      <c r="BZ24" s="22"/>
      <c r="CA24" s="22"/>
      <c r="CB24" s="45"/>
      <c r="CC24" s="45"/>
    </row>
    <row r="25" spans="1:81" ht="24.75" customHeight="1" x14ac:dyDescent="0.2">
      <c r="A25" s="41" t="s">
        <v>58</v>
      </c>
      <c r="B25" s="43">
        <f t="shared" si="18"/>
        <v>2401429787</v>
      </c>
      <c r="C25" s="43">
        <f t="shared" si="19"/>
        <v>2416103635</v>
      </c>
      <c r="D25" s="22"/>
      <c r="E25" s="22"/>
      <c r="F25" s="22"/>
      <c r="G25" s="22"/>
      <c r="H25" s="45"/>
      <c r="I25" s="45"/>
      <c r="J25" s="45"/>
      <c r="K25" s="45"/>
      <c r="L25" s="22"/>
      <c r="M25" s="22"/>
      <c r="N25" s="45"/>
      <c r="O25" s="45"/>
      <c r="P25" s="22"/>
      <c r="Q25" s="22"/>
      <c r="R25" s="45"/>
      <c r="S25" s="45"/>
      <c r="T25" s="50"/>
      <c r="U25" s="50"/>
      <c r="V25" s="45"/>
      <c r="W25" s="45"/>
      <c r="X25" s="45"/>
      <c r="Y25" s="45"/>
      <c r="Z25" s="45"/>
      <c r="AA25" s="45"/>
      <c r="AB25" s="45"/>
      <c r="AC25" s="45"/>
      <c r="AD25" s="45"/>
      <c r="AE25" s="45"/>
      <c r="AF25" s="45"/>
      <c r="AG25" s="45"/>
      <c r="AH25" s="45"/>
      <c r="AI25" s="45"/>
      <c r="AJ25" s="45"/>
      <c r="AK25" s="45"/>
      <c r="AL25" s="45">
        <v>38515524</v>
      </c>
      <c r="AM25" s="45">
        <v>46136301</v>
      </c>
      <c r="AN25" s="45"/>
      <c r="AO25" s="45"/>
      <c r="AP25" s="45"/>
      <c r="AQ25" s="45"/>
      <c r="AR25" s="22">
        <v>259151</v>
      </c>
      <c r="AS25" s="22">
        <v>398223</v>
      </c>
      <c r="AT25" s="45"/>
      <c r="AU25" s="45"/>
      <c r="AV25" s="22"/>
      <c r="AW25" s="22"/>
      <c r="AX25" s="22"/>
      <c r="AY25" s="22"/>
      <c r="AZ25" s="22">
        <v>-2745000</v>
      </c>
      <c r="BA25" s="22">
        <v>4169000</v>
      </c>
      <c r="BB25" s="45"/>
      <c r="BC25" s="45"/>
      <c r="BD25" s="151"/>
      <c r="BE25" s="22"/>
      <c r="BF25" s="45"/>
      <c r="BG25" s="45"/>
      <c r="BH25" s="45"/>
      <c r="BI25" s="45"/>
      <c r="BJ25" s="45"/>
      <c r="BK25" s="45"/>
      <c r="BL25" s="45"/>
      <c r="BM25" s="45"/>
      <c r="BN25" s="45">
        <v>2365400112</v>
      </c>
      <c r="BO25" s="45">
        <v>2365400111</v>
      </c>
      <c r="BP25" s="22"/>
      <c r="BQ25" s="22"/>
      <c r="BR25" s="22"/>
      <c r="BS25" s="22"/>
      <c r="BT25" s="45"/>
      <c r="BU25" s="45"/>
      <c r="BW25" s="22"/>
      <c r="BX25" s="45"/>
      <c r="BY25" s="45"/>
      <c r="BZ25" s="22"/>
      <c r="CA25" s="22"/>
      <c r="CB25" s="45"/>
      <c r="CC25" s="45"/>
    </row>
    <row r="26" spans="1:81" ht="24.75" customHeight="1" x14ac:dyDescent="0.2">
      <c r="A26" s="42" t="s">
        <v>59</v>
      </c>
      <c r="B26" s="48">
        <f t="shared" ref="B26:G26" si="20">SUM(B16:B25)</f>
        <v>205014510519.04004</v>
      </c>
      <c r="C26" s="48">
        <f t="shared" si="20"/>
        <v>203498263250.88</v>
      </c>
      <c r="D26" s="155">
        <f t="shared" si="20"/>
        <v>1576608</v>
      </c>
      <c r="E26" s="155">
        <f t="shared" si="20"/>
        <v>1320939</v>
      </c>
      <c r="F26" s="180">
        <f t="shared" si="20"/>
        <v>1555393</v>
      </c>
      <c r="G26" s="180">
        <f t="shared" si="20"/>
        <v>1562625</v>
      </c>
      <c r="H26" s="48">
        <f t="shared" ref="H26:M26" si="21">SUM(H16:H25)</f>
        <v>1298573947</v>
      </c>
      <c r="I26" s="48">
        <f t="shared" si="21"/>
        <v>1049678132</v>
      </c>
      <c r="J26" s="48">
        <f t="shared" si="21"/>
        <v>3258059568</v>
      </c>
      <c r="K26" s="48">
        <f t="shared" si="21"/>
        <v>3274616929</v>
      </c>
      <c r="L26" s="155">
        <f t="shared" si="21"/>
        <v>80567076</v>
      </c>
      <c r="M26" s="155">
        <f t="shared" si="21"/>
        <v>80567076</v>
      </c>
      <c r="N26" s="48">
        <f>SUM(N16:N25)</f>
        <v>1219736000</v>
      </c>
      <c r="O26" s="48">
        <f>SUM(O16:O25)</f>
        <v>1251100000</v>
      </c>
      <c r="P26" s="180">
        <f>SUM(P16:P25)</f>
        <v>0</v>
      </c>
      <c r="Q26" s="180">
        <f>SUM(Q16:Q25)</f>
        <v>0</v>
      </c>
      <c r="R26" s="49">
        <f>SUM(R15:R25)</f>
        <v>1060091681</v>
      </c>
      <c r="S26" s="49">
        <f>SUM(S15:S25)</f>
        <v>1096316184</v>
      </c>
      <c r="T26" s="49">
        <f>SUM(T16:T25)</f>
        <v>2524468679</v>
      </c>
      <c r="U26" s="49">
        <f>SUM(U16:U25)</f>
        <v>2552799076</v>
      </c>
      <c r="V26" s="200">
        <f>SUM(V16:V25)</f>
        <v>0</v>
      </c>
      <c r="W26" s="200">
        <f>SUM(W16:W25)</f>
        <v>0</v>
      </c>
      <c r="X26" s="49">
        <f t="shared" ref="X26:AE26" si="22">SUM(X16:X25)</f>
        <v>1512247000</v>
      </c>
      <c r="Y26" s="49">
        <f t="shared" si="22"/>
        <v>1628966850</v>
      </c>
      <c r="Z26" s="49">
        <f t="shared" si="22"/>
        <v>2856766503</v>
      </c>
      <c r="AA26" s="49">
        <f t="shared" si="22"/>
        <v>2871361828</v>
      </c>
      <c r="AB26" s="49">
        <f t="shared" si="22"/>
        <v>591308113</v>
      </c>
      <c r="AC26" s="49">
        <f t="shared" si="22"/>
        <v>634292000</v>
      </c>
      <c r="AD26" s="49">
        <f>SUM(AD16:AD25)</f>
        <v>3437955652.5799999</v>
      </c>
      <c r="AE26" s="49">
        <f t="shared" si="22"/>
        <v>3626095328.1099997</v>
      </c>
      <c r="AF26" s="49">
        <f>SUM(AF16:AF25)</f>
        <v>4617703873</v>
      </c>
      <c r="AG26" s="49">
        <f>SUM(AG16:AG25)</f>
        <v>5728449197</v>
      </c>
      <c r="AH26" s="49">
        <f>SUM(AH16:AH25)</f>
        <v>1355222979</v>
      </c>
      <c r="AI26" s="49">
        <f>SUM(AI16:AI25)</f>
        <v>1404611634</v>
      </c>
      <c r="AJ26" s="49">
        <f t="shared" ref="AJ26:AQ26" si="23">SUM(AJ16:AJ25)</f>
        <v>1125152313</v>
      </c>
      <c r="AK26" s="49">
        <f t="shared" si="23"/>
        <v>5724354340</v>
      </c>
      <c r="AL26" s="49">
        <f t="shared" si="23"/>
        <v>31670689</v>
      </c>
      <c r="AM26" s="49">
        <f t="shared" si="23"/>
        <v>37123844</v>
      </c>
      <c r="AN26" s="49">
        <f t="shared" si="23"/>
        <v>4939931041</v>
      </c>
      <c r="AO26" s="49">
        <f t="shared" si="23"/>
        <v>5806693651</v>
      </c>
      <c r="AP26" s="49">
        <f t="shared" si="23"/>
        <v>1038161093</v>
      </c>
      <c r="AQ26" s="49">
        <f t="shared" si="23"/>
        <v>1334120973</v>
      </c>
      <c r="AR26" s="155">
        <f t="shared" ref="AR26:AW26" si="24">SUM(AR16:AR25)</f>
        <v>8120804</v>
      </c>
      <c r="AS26" s="155">
        <f t="shared" si="24"/>
        <v>8519027</v>
      </c>
      <c r="AT26" s="48">
        <f t="shared" si="24"/>
        <v>77107268441</v>
      </c>
      <c r="AU26" s="48">
        <f t="shared" si="24"/>
        <v>90087366554</v>
      </c>
      <c r="AV26" s="180">
        <f t="shared" si="24"/>
        <v>0</v>
      </c>
      <c r="AW26" s="180">
        <f t="shared" si="24"/>
        <v>0</v>
      </c>
      <c r="AX26" s="155">
        <f t="shared" ref="AX26:BC26" si="25">SUM(AX16:AX25)</f>
        <v>0</v>
      </c>
      <c r="AY26" s="155">
        <f t="shared" si="25"/>
        <v>0</v>
      </c>
      <c r="AZ26" s="155">
        <f t="shared" si="25"/>
        <v>480000</v>
      </c>
      <c r="BA26" s="155">
        <f t="shared" si="25"/>
        <v>2873000</v>
      </c>
      <c r="BB26" s="48">
        <f t="shared" si="25"/>
        <v>1908207945.46</v>
      </c>
      <c r="BC26" s="48">
        <f t="shared" si="25"/>
        <v>2022344759.77</v>
      </c>
      <c r="BD26" s="180">
        <f>SUM(BD16:BD25)</f>
        <v>0</v>
      </c>
      <c r="BE26" s="180">
        <f>SUM(BE16:BE25)</f>
        <v>0</v>
      </c>
      <c r="BF26" s="48">
        <f t="shared" ref="BF26:CC26" si="26">SUM(BF16:BF25)</f>
        <v>8741979770</v>
      </c>
      <c r="BG26" s="48">
        <f t="shared" si="26"/>
        <v>8866019184</v>
      </c>
      <c r="BH26" s="48">
        <f t="shared" si="26"/>
        <v>932769662</v>
      </c>
      <c r="BI26" s="48">
        <f t="shared" si="26"/>
        <v>1057511612</v>
      </c>
      <c r="BJ26" s="48">
        <f t="shared" si="26"/>
        <v>2235561637</v>
      </c>
      <c r="BK26" s="48">
        <f t="shared" si="26"/>
        <v>2346848785</v>
      </c>
      <c r="BL26" s="48">
        <f t="shared" si="26"/>
        <v>3633970482</v>
      </c>
      <c r="BM26" s="48">
        <f t="shared" si="26"/>
        <v>4031417559</v>
      </c>
      <c r="BN26" s="48">
        <f>SUM(BN16:BN25)</f>
        <v>7786011254</v>
      </c>
      <c r="BO26" s="48">
        <f t="shared" si="26"/>
        <v>9592054092</v>
      </c>
      <c r="BP26" s="155">
        <f t="shared" si="26"/>
        <v>608362</v>
      </c>
      <c r="BQ26" s="155">
        <f t="shared" si="26"/>
        <v>632809</v>
      </c>
      <c r="BR26" s="155">
        <f t="shared" si="26"/>
        <v>8921577</v>
      </c>
      <c r="BS26" s="155">
        <f t="shared" si="26"/>
        <v>1146758</v>
      </c>
      <c r="BT26" s="48">
        <f>SUM(BT16:BT25)</f>
        <v>9109805473</v>
      </c>
      <c r="BU26" s="48">
        <f>SUM(BU16:BU25)</f>
        <v>4780554290</v>
      </c>
      <c r="BV26" s="155">
        <f>SUM(BV16:BV25)</f>
        <v>1709664207</v>
      </c>
      <c r="BW26" s="155">
        <f t="shared" si="26"/>
        <v>1714127161</v>
      </c>
      <c r="BX26" s="48">
        <f>SUM(BX16:BX25)</f>
        <v>5930381000</v>
      </c>
      <c r="BY26" s="48">
        <f t="shared" si="26"/>
        <v>5565978763</v>
      </c>
      <c r="BZ26" s="155">
        <f t="shared" si="26"/>
        <v>368990000</v>
      </c>
      <c r="CA26" s="155">
        <f t="shared" si="26"/>
        <v>397300626</v>
      </c>
      <c r="CB26" s="48">
        <f t="shared" si="26"/>
        <v>54581021696</v>
      </c>
      <c r="CC26" s="48">
        <f t="shared" si="26"/>
        <v>34919537665</v>
      </c>
    </row>
    <row r="27" spans="1:81" ht="24.75" customHeight="1" x14ac:dyDescent="0.2">
      <c r="A27" s="42" t="s">
        <v>60</v>
      </c>
      <c r="B27" s="49">
        <f t="shared" ref="B27:G27" si="27">+B14+B26</f>
        <v>652605185852.90002</v>
      </c>
      <c r="C27" s="49">
        <f t="shared" si="27"/>
        <v>704626687272.83008</v>
      </c>
      <c r="D27" s="156">
        <f t="shared" si="27"/>
        <v>1685519</v>
      </c>
      <c r="E27" s="156">
        <f t="shared" si="27"/>
        <v>1967798</v>
      </c>
      <c r="F27" s="180">
        <f t="shared" si="27"/>
        <v>2187276</v>
      </c>
      <c r="G27" s="180">
        <f t="shared" si="27"/>
        <v>2218181</v>
      </c>
      <c r="H27" s="48">
        <f t="shared" ref="H27:M27" si="28">+H14+H26</f>
        <v>4251553018</v>
      </c>
      <c r="I27" s="48">
        <f t="shared" si="28"/>
        <v>4533127767</v>
      </c>
      <c r="J27" s="48">
        <f t="shared" si="28"/>
        <v>3709780690</v>
      </c>
      <c r="K27" s="48">
        <f t="shared" si="28"/>
        <v>4050474879</v>
      </c>
      <c r="L27" s="155">
        <f t="shared" si="28"/>
        <v>92441392</v>
      </c>
      <c r="M27" s="155">
        <f t="shared" si="28"/>
        <v>92441392</v>
      </c>
      <c r="N27" s="48">
        <f t="shared" ref="N27:W27" si="29">+N14+N26</f>
        <v>1682482000</v>
      </c>
      <c r="O27" s="48">
        <f t="shared" si="29"/>
        <v>1665133000</v>
      </c>
      <c r="P27" s="180">
        <f t="shared" si="29"/>
        <v>0</v>
      </c>
      <c r="Q27" s="180">
        <f t="shared" si="29"/>
        <v>0</v>
      </c>
      <c r="R27" s="49">
        <f t="shared" si="29"/>
        <v>1168198581</v>
      </c>
      <c r="S27" s="49">
        <f t="shared" si="29"/>
        <v>1187101486</v>
      </c>
      <c r="T27" s="49">
        <f t="shared" si="29"/>
        <v>3176754000</v>
      </c>
      <c r="U27" s="49">
        <f t="shared" si="29"/>
        <v>3282585085</v>
      </c>
      <c r="V27" s="200">
        <f t="shared" si="29"/>
        <v>0</v>
      </c>
      <c r="W27" s="200">
        <f t="shared" si="29"/>
        <v>0</v>
      </c>
      <c r="X27" s="49">
        <f t="shared" ref="X27:AE27" si="30">+X14+X26</f>
        <v>1837851000</v>
      </c>
      <c r="Y27" s="49">
        <f t="shared" si="30"/>
        <v>1768472073</v>
      </c>
      <c r="Z27" s="49">
        <f t="shared" si="30"/>
        <v>3580434614</v>
      </c>
      <c r="AA27" s="49">
        <f t="shared" si="30"/>
        <v>4101776298</v>
      </c>
      <c r="AB27" s="49">
        <f t="shared" si="30"/>
        <v>1113627446</v>
      </c>
      <c r="AC27" s="49">
        <f>+AC14+AC26</f>
        <v>1047279000</v>
      </c>
      <c r="AD27" s="49">
        <f>+AD14+AD26</f>
        <v>6269948754</v>
      </c>
      <c r="AE27" s="49">
        <f t="shared" si="30"/>
        <v>6109282375.1199999</v>
      </c>
      <c r="AF27" s="49">
        <f>+AF14+AF26</f>
        <v>6836884532</v>
      </c>
      <c r="AG27" s="49">
        <f>+AG14+AG26</f>
        <v>8691747124</v>
      </c>
      <c r="AH27" s="49">
        <f>+AH14+AH26</f>
        <v>2556261000</v>
      </c>
      <c r="AI27" s="49">
        <f>+AI14+AI26</f>
        <v>1770385738</v>
      </c>
      <c r="AJ27" s="49">
        <f t="shared" ref="AJ27:AQ27" si="31">+AJ14+AJ26</f>
        <v>2454630292</v>
      </c>
      <c r="AK27" s="49">
        <f t="shared" si="31"/>
        <v>13895397579</v>
      </c>
      <c r="AL27" s="49">
        <f t="shared" si="31"/>
        <v>104215089</v>
      </c>
      <c r="AM27" s="49">
        <f t="shared" si="31"/>
        <v>116828092</v>
      </c>
      <c r="AN27" s="49">
        <f t="shared" si="31"/>
        <v>6413981324</v>
      </c>
      <c r="AO27" s="49">
        <f t="shared" si="31"/>
        <v>8917248299</v>
      </c>
      <c r="AP27" s="49">
        <f t="shared" si="31"/>
        <v>1672513941</v>
      </c>
      <c r="AQ27" s="49">
        <f t="shared" si="31"/>
        <v>2122103360</v>
      </c>
      <c r="AR27" s="156">
        <f t="shared" ref="AR27:AW27" si="32">+AR14+AR26</f>
        <v>10875379</v>
      </c>
      <c r="AS27" s="156">
        <f t="shared" si="32"/>
        <v>10322026</v>
      </c>
      <c r="AT27" s="48">
        <f t="shared" si="32"/>
        <v>136924569750</v>
      </c>
      <c r="AU27" s="48">
        <f t="shared" si="32"/>
        <v>145037060722</v>
      </c>
      <c r="AV27" s="180">
        <f t="shared" si="32"/>
        <v>0</v>
      </c>
      <c r="AW27" s="180">
        <f t="shared" si="32"/>
        <v>0</v>
      </c>
      <c r="AX27" s="155">
        <f t="shared" ref="AX27:BE27" si="33">+AX14+AX26</f>
        <v>0</v>
      </c>
      <c r="AY27" s="155">
        <f t="shared" si="33"/>
        <v>0</v>
      </c>
      <c r="AZ27" s="155">
        <f t="shared" si="33"/>
        <v>165378000</v>
      </c>
      <c r="BA27" s="155">
        <f t="shared" si="33"/>
        <v>172607000</v>
      </c>
      <c r="BB27" s="48">
        <f t="shared" si="33"/>
        <v>2985791678.9000001</v>
      </c>
      <c r="BC27" s="48">
        <f t="shared" si="33"/>
        <v>2570379182.71</v>
      </c>
      <c r="BD27" s="180">
        <f t="shared" si="33"/>
        <v>0</v>
      </c>
      <c r="BE27" s="180">
        <f t="shared" si="33"/>
        <v>0</v>
      </c>
      <c r="BF27" s="48">
        <f t="shared" ref="BF27:CC27" si="34">+BF14+BF26</f>
        <v>21737334629</v>
      </c>
      <c r="BG27" s="48">
        <f t="shared" si="34"/>
        <v>23609598369</v>
      </c>
      <c r="BH27" s="48">
        <f t="shared" si="34"/>
        <v>1076220244</v>
      </c>
      <c r="BI27" s="48">
        <f t="shared" si="34"/>
        <v>1339783575</v>
      </c>
      <c r="BJ27" s="48">
        <f t="shared" si="34"/>
        <v>3482362792</v>
      </c>
      <c r="BK27" s="48">
        <f t="shared" si="34"/>
        <v>4441447430</v>
      </c>
      <c r="BL27" s="48">
        <f t="shared" si="34"/>
        <v>6556692849</v>
      </c>
      <c r="BM27" s="48">
        <f t="shared" si="34"/>
        <v>6683875925</v>
      </c>
      <c r="BN27" s="48">
        <f t="shared" si="34"/>
        <v>15420782383</v>
      </c>
      <c r="BO27" s="48">
        <f t="shared" si="34"/>
        <v>19020783089</v>
      </c>
      <c r="BP27" s="155">
        <f>+BP14+BP26</f>
        <v>757549</v>
      </c>
      <c r="BQ27" s="155">
        <f t="shared" si="34"/>
        <v>899956</v>
      </c>
      <c r="BR27" s="155">
        <f t="shared" si="34"/>
        <v>33560327</v>
      </c>
      <c r="BS27" s="155">
        <f t="shared" si="34"/>
        <v>33028680</v>
      </c>
      <c r="BT27" s="48">
        <f>+BT14+BT26</f>
        <v>23355662902</v>
      </c>
      <c r="BU27" s="48">
        <f>+BU14+BU26</f>
        <v>23463487844</v>
      </c>
      <c r="BV27" s="155">
        <f>+BV14+BV26</f>
        <v>2436329017</v>
      </c>
      <c r="BW27" s="155">
        <f t="shared" si="34"/>
        <v>2628105798</v>
      </c>
      <c r="BX27" s="48">
        <f>+BX14+BX26</f>
        <v>12873680000</v>
      </c>
      <c r="BY27" s="48">
        <f t="shared" si="34"/>
        <v>8669607264</v>
      </c>
      <c r="BZ27" s="155">
        <f>+BZ14+BZ26</f>
        <v>375090000</v>
      </c>
      <c r="CA27" s="155">
        <f t="shared" si="34"/>
        <v>414281266</v>
      </c>
      <c r="CB27" s="48">
        <f t="shared" si="34"/>
        <v>378244667885</v>
      </c>
      <c r="CC27" s="48">
        <f t="shared" si="34"/>
        <v>403175849620</v>
      </c>
    </row>
    <row r="28" spans="1:81" s="63" customFormat="1" ht="24.75" customHeight="1" x14ac:dyDescent="0.2">
      <c r="A28" s="38" t="s">
        <v>61</v>
      </c>
      <c r="B28" s="43">
        <f t="shared" ref="B28:C30" si="35">+D28+F28+H28+J28+L28+N28+P28+R28+T28+V28+X28+Z28+AB28+AD28+AF28+AH28+AJ28+AL28+AN28+AP28+AR28+AT28+AV28+AX28+AZ28+BB28+BD28+BF28+BH28+BJ28+BL28+BN28+BP28+BR28+BT28+BV28+BX28+BZ28+CB28</f>
        <v>299815674664.67004</v>
      </c>
      <c r="C28" s="43">
        <f t="shared" si="35"/>
        <v>439015049043</v>
      </c>
      <c r="D28" s="22">
        <v>1230565</v>
      </c>
      <c r="E28" s="22">
        <v>40404</v>
      </c>
      <c r="F28" s="22">
        <v>657476</v>
      </c>
      <c r="G28" s="22">
        <v>1491255</v>
      </c>
      <c r="H28" s="45">
        <v>4405316726</v>
      </c>
      <c r="I28" s="45">
        <v>2930021701</v>
      </c>
      <c r="J28" s="47">
        <v>817531168</v>
      </c>
      <c r="K28" s="47">
        <v>1054745683</v>
      </c>
      <c r="N28" s="47">
        <v>441235000</v>
      </c>
      <c r="O28" s="47">
        <v>479743000</v>
      </c>
      <c r="R28" s="45">
        <f>+(-135777000)+191451000</f>
        <v>55674000</v>
      </c>
      <c r="S28" s="45">
        <f>57469140+94647880</f>
        <v>152117020</v>
      </c>
      <c r="T28" s="47">
        <v>1203456885</v>
      </c>
      <c r="U28" s="47">
        <v>1041783924</v>
      </c>
      <c r="V28" s="47"/>
      <c r="W28" s="47"/>
      <c r="X28" s="47">
        <v>3501116000</v>
      </c>
      <c r="Y28" s="47">
        <v>4469839000</v>
      </c>
      <c r="Z28" s="45">
        <v>2650199084</v>
      </c>
      <c r="AA28" s="45">
        <v>2962836988</v>
      </c>
      <c r="AB28" s="45">
        <v>264893337</v>
      </c>
      <c r="AC28" s="45">
        <v>768299000</v>
      </c>
      <c r="AD28" s="45"/>
      <c r="AE28" s="45"/>
      <c r="AF28" s="45">
        <v>3389336787</v>
      </c>
      <c r="AG28" s="45">
        <v>5172220725</v>
      </c>
      <c r="AH28" s="45">
        <v>774145000</v>
      </c>
      <c r="AI28" s="45">
        <v>4926970350</v>
      </c>
      <c r="AJ28" s="52">
        <v>7944764209</v>
      </c>
      <c r="AK28" s="52">
        <v>19489678482</v>
      </c>
      <c r="AL28" s="45">
        <v>27302948</v>
      </c>
      <c r="AM28" s="45">
        <v>38876689</v>
      </c>
      <c r="AN28" s="45">
        <v>3590764948</v>
      </c>
      <c r="AO28" s="45">
        <v>5732239949</v>
      </c>
      <c r="AP28" s="45">
        <v>7149907254</v>
      </c>
      <c r="AQ28" s="45">
        <v>8328595966</v>
      </c>
      <c r="AR28" s="22">
        <v>4364641</v>
      </c>
      <c r="AS28" s="22">
        <v>6479549</v>
      </c>
      <c r="AT28" s="45">
        <v>139829936847</v>
      </c>
      <c r="AU28" s="45">
        <v>225785970784</v>
      </c>
      <c r="AZ28" s="22">
        <v>48789000</v>
      </c>
      <c r="BA28" s="22">
        <v>56261000</v>
      </c>
      <c r="BB28" s="45">
        <v>2915182842.6700001</v>
      </c>
      <c r="BC28" s="45">
        <v>2483523123</v>
      </c>
      <c r="BF28" s="45">
        <v>12503273875</v>
      </c>
      <c r="BG28" s="45">
        <v>21271421598</v>
      </c>
      <c r="BH28" s="45">
        <v>2783747581</v>
      </c>
      <c r="BI28" s="45">
        <v>4513531603</v>
      </c>
      <c r="BJ28" s="45">
        <v>6881691299</v>
      </c>
      <c r="BK28" s="45">
        <v>6722187787</v>
      </c>
      <c r="BL28" s="45">
        <f>8641347690-469647450</f>
        <v>8171700240</v>
      </c>
      <c r="BM28" s="45">
        <f>38139943569-27132858000</f>
        <v>11007085569</v>
      </c>
      <c r="BN28" s="45">
        <v>18857296774</v>
      </c>
      <c r="BO28" s="45">
        <v>24944935446</v>
      </c>
      <c r="BP28" s="22">
        <v>203250</v>
      </c>
      <c r="BQ28" s="22">
        <v>652202</v>
      </c>
      <c r="BR28" s="22">
        <v>32772445</v>
      </c>
      <c r="BS28" s="22">
        <v>48772381</v>
      </c>
      <c r="BT28" s="45">
        <v>12511686326</v>
      </c>
      <c r="BU28" s="45">
        <v>10458935867</v>
      </c>
      <c r="BV28" s="22">
        <f>33915000+153553212</f>
        <v>187468212</v>
      </c>
      <c r="BW28" s="22">
        <f>231008403+84000000</f>
        <v>315008403</v>
      </c>
      <c r="BX28" s="45">
        <v>3725997000</v>
      </c>
      <c r="BY28" s="45">
        <v>10443306338</v>
      </c>
      <c r="BZ28" s="22"/>
      <c r="CA28" s="22">
        <v>412070000</v>
      </c>
      <c r="CB28" s="58">
        <v>55144032945</v>
      </c>
      <c r="CC28" s="58">
        <v>62995407257</v>
      </c>
    </row>
    <row r="29" spans="1:81" ht="24.75" customHeight="1" x14ac:dyDescent="0.2">
      <c r="A29" s="38" t="s">
        <v>62</v>
      </c>
      <c r="B29" s="43">
        <f t="shared" si="35"/>
        <v>250368507940</v>
      </c>
      <c r="C29" s="43">
        <f t="shared" si="35"/>
        <v>352154237157</v>
      </c>
      <c r="D29" s="22">
        <v>811499</v>
      </c>
      <c r="E29" s="22">
        <v>24216</v>
      </c>
      <c r="F29" s="22">
        <f>26732+446914</f>
        <v>473646</v>
      </c>
      <c r="G29" s="22">
        <f>49400+881192</f>
        <v>930592</v>
      </c>
      <c r="H29" s="45">
        <v>3771730482</v>
      </c>
      <c r="I29" s="45">
        <v>3489149276</v>
      </c>
      <c r="J29" s="47">
        <v>660017808</v>
      </c>
      <c r="K29" s="47">
        <v>756169082</v>
      </c>
      <c r="L29" s="63">
        <v>7120632</v>
      </c>
      <c r="M29" s="63">
        <v>7120632</v>
      </c>
      <c r="N29" s="47">
        <v>0</v>
      </c>
      <c r="O29" s="47">
        <v>0</v>
      </c>
      <c r="P29" s="63"/>
      <c r="Q29" s="63"/>
      <c r="R29" s="45">
        <v>926000</v>
      </c>
      <c r="S29" s="45">
        <v>1089461</v>
      </c>
      <c r="T29" s="47">
        <v>573037446</v>
      </c>
      <c r="U29" s="47">
        <v>646735557</v>
      </c>
      <c r="V29" s="47"/>
      <c r="W29" s="47"/>
      <c r="X29" s="45">
        <v>1960624960</v>
      </c>
      <c r="Y29" s="45">
        <v>2696383980</v>
      </c>
      <c r="Z29" s="45">
        <v>1717377137</v>
      </c>
      <c r="AA29" s="45">
        <v>2073186335</v>
      </c>
      <c r="AB29" s="45">
        <v>84202429</v>
      </c>
      <c r="AC29" s="45">
        <v>315296000</v>
      </c>
      <c r="AD29" s="45"/>
      <c r="AE29" s="45"/>
      <c r="AF29" s="45">
        <v>2367326052</v>
      </c>
      <c r="AG29" s="45">
        <v>4111095623</v>
      </c>
      <c r="AH29" s="45">
        <v>397068712</v>
      </c>
      <c r="AI29" s="45">
        <v>3561595560</v>
      </c>
      <c r="AJ29" s="52"/>
      <c r="AK29" s="52"/>
      <c r="AL29" s="45">
        <v>24377664</v>
      </c>
      <c r="AM29" s="45">
        <v>33787130</v>
      </c>
      <c r="AN29" s="45">
        <v>3116708593</v>
      </c>
      <c r="AO29" s="45">
        <v>5214410673</v>
      </c>
      <c r="AP29" s="45">
        <v>5854318105</v>
      </c>
      <c r="AQ29" s="45">
        <v>6621823409</v>
      </c>
      <c r="AR29" s="22">
        <v>1961030</v>
      </c>
      <c r="AS29" s="22">
        <v>4320759</v>
      </c>
      <c r="AT29" s="45">
        <v>122812495664</v>
      </c>
      <c r="AU29" s="45">
        <v>199477810312</v>
      </c>
      <c r="AV29" s="63"/>
      <c r="AW29" s="63"/>
      <c r="AX29" s="63"/>
      <c r="AY29" s="63"/>
      <c r="AZ29" s="22">
        <v>34230000</v>
      </c>
      <c r="BA29" s="22">
        <v>39618000</v>
      </c>
      <c r="BB29" s="45">
        <v>0</v>
      </c>
      <c r="BC29" s="45">
        <v>0</v>
      </c>
      <c r="BD29" s="63"/>
      <c r="BE29" s="63"/>
      <c r="BF29" s="45">
        <v>9929753195</v>
      </c>
      <c r="BG29" s="45">
        <v>15736800898</v>
      </c>
      <c r="BH29" s="45">
        <v>1760884413</v>
      </c>
      <c r="BI29" s="45">
        <v>3762761721</v>
      </c>
      <c r="BJ29" s="45">
        <v>4336630012</v>
      </c>
      <c r="BK29" s="45">
        <v>4693792838</v>
      </c>
      <c r="BL29" s="45">
        <v>6525068468</v>
      </c>
      <c r="BM29" s="45">
        <v>8878093334</v>
      </c>
      <c r="BN29" s="45">
        <v>13973386726</v>
      </c>
      <c r="BO29" s="45">
        <v>17497390806</v>
      </c>
      <c r="BP29" s="22">
        <v>145400</v>
      </c>
      <c r="BQ29" s="22">
        <v>292919</v>
      </c>
      <c r="BR29" s="22">
        <v>27342241</v>
      </c>
      <c r="BS29" s="22">
        <v>54574319</v>
      </c>
      <c r="BT29" s="45">
        <v>13869703645</v>
      </c>
      <c r="BU29" s="45">
        <v>10635386001</v>
      </c>
      <c r="BV29" s="22">
        <v>12000000</v>
      </c>
      <c r="BW29" s="22">
        <v>14151000</v>
      </c>
      <c r="BX29" s="45"/>
      <c r="BY29" s="45">
        <v>1372454377</v>
      </c>
      <c r="BZ29" s="22"/>
      <c r="CA29" s="22"/>
      <c r="CB29" s="58">
        <v>56548785981</v>
      </c>
      <c r="CC29" s="58">
        <v>60457992347</v>
      </c>
    </row>
    <row r="30" spans="1:81" ht="24.75" customHeight="1" x14ac:dyDescent="0.2">
      <c r="A30" s="36" t="s">
        <v>63</v>
      </c>
      <c r="B30" s="43">
        <f t="shared" si="35"/>
        <v>24133083598.59</v>
      </c>
      <c r="C30" s="43">
        <f t="shared" si="35"/>
        <v>45636988761.419998</v>
      </c>
      <c r="D30" s="22">
        <f>371581+10111</f>
        <v>381692</v>
      </c>
      <c r="E30" s="63">
        <v>67530</v>
      </c>
      <c r="F30" s="63"/>
      <c r="G30" s="63"/>
      <c r="H30" s="47"/>
      <c r="I30" s="47"/>
      <c r="J30" s="45">
        <f>140250890+6962907</f>
        <v>147213797</v>
      </c>
      <c r="K30" s="45">
        <f>268776535+1820950+618532</f>
        <v>271216017</v>
      </c>
      <c r="L30" s="63">
        <v>13632892</v>
      </c>
      <c r="M30" s="63">
        <v>13632892</v>
      </c>
      <c r="N30" s="47">
        <v>400479000</v>
      </c>
      <c r="O30" s="47">
        <v>438691000</v>
      </c>
      <c r="P30" s="63"/>
      <c r="Q30" s="63"/>
      <c r="R30" s="45">
        <v>8950000</v>
      </c>
      <c r="S30" s="45">
        <v>95297554</v>
      </c>
      <c r="T30" s="45">
        <v>726718951</v>
      </c>
      <c r="U30" s="45">
        <v>295384958</v>
      </c>
      <c r="V30" s="50"/>
      <c r="W30" s="50"/>
      <c r="X30" s="45">
        <f>138328000+1260401760+43946000</f>
        <v>1442675760</v>
      </c>
      <c r="Y30" s="45">
        <f>178018000+1415868020+62849150</f>
        <v>1656735170</v>
      </c>
      <c r="Z30" s="45">
        <v>752919840</v>
      </c>
      <c r="AA30" s="45">
        <v>750738661</v>
      </c>
      <c r="AB30" s="45">
        <v>160220000</v>
      </c>
      <c r="AC30" s="45">
        <v>321727000</v>
      </c>
      <c r="AD30" s="45"/>
      <c r="AE30" s="45"/>
      <c r="AF30" s="45">
        <v>1268217860</v>
      </c>
      <c r="AG30" s="45">
        <v>1588439489</v>
      </c>
      <c r="AH30" s="45">
        <v>184206158</v>
      </c>
      <c r="AI30" s="45">
        <v>1186691069</v>
      </c>
      <c r="AJ30" s="52">
        <f>7399956254+16898500</f>
        <v>7416854754</v>
      </c>
      <c r="AK30" s="52">
        <f>17903853860+23554000</f>
        <v>17927407860</v>
      </c>
      <c r="AL30" s="45">
        <v>4295191</v>
      </c>
      <c r="AM30" s="45">
        <v>5200707</v>
      </c>
      <c r="AN30" s="45">
        <v>277073696</v>
      </c>
      <c r="AO30" s="45">
        <v>430438009</v>
      </c>
      <c r="AP30" s="45">
        <f>854918378+94853335+71505215</f>
        <v>1021276928</v>
      </c>
      <c r="AQ30" s="45">
        <f>1003668411+102363864+56559129</f>
        <v>1162591404</v>
      </c>
      <c r="AR30" s="22">
        <v>1890808</v>
      </c>
      <c r="AS30" s="22">
        <v>3066247</v>
      </c>
      <c r="AT30" s="45"/>
      <c r="AU30" s="45"/>
      <c r="AV30" s="63"/>
      <c r="AW30" s="63"/>
      <c r="AX30" s="63"/>
      <c r="AY30" s="63"/>
      <c r="AZ30" s="22">
        <f>7108000+35078000</f>
        <v>42186000</v>
      </c>
      <c r="BA30" s="22">
        <f>7097000+51011000</f>
        <v>58108000</v>
      </c>
      <c r="BB30" s="45">
        <f>2675263227.2+4847954.48+13247014.91</f>
        <v>2693358196.5899997</v>
      </c>
      <c r="BC30" s="45">
        <f>2255538791.59+18000231.43+17776490.4</f>
        <v>2291315513.4200001</v>
      </c>
      <c r="BD30" s="63"/>
      <c r="BE30" s="63"/>
      <c r="BF30" s="45">
        <v>995818524</v>
      </c>
      <c r="BG30" s="45">
        <v>1174709007</v>
      </c>
      <c r="BH30" s="45"/>
      <c r="BI30" s="45"/>
      <c r="BJ30" s="45"/>
      <c r="BK30" s="45"/>
      <c r="BL30" s="45"/>
      <c r="BM30" s="45"/>
      <c r="BN30" s="45">
        <v>2522307879</v>
      </c>
      <c r="BO30" s="45">
        <v>4343063591</v>
      </c>
      <c r="BP30" s="22">
        <v>73251</v>
      </c>
      <c r="BQ30" s="22">
        <v>321672</v>
      </c>
      <c r="BR30" s="22"/>
      <c r="BS30" s="22"/>
      <c r="BT30" s="45">
        <v>1224044256</v>
      </c>
      <c r="BU30" s="45">
        <v>1740746896</v>
      </c>
      <c r="BV30" s="22">
        <f>66873880+78710285</f>
        <v>145584165</v>
      </c>
      <c r="BW30" s="22">
        <f>124637548+165029831</f>
        <v>289667379</v>
      </c>
      <c r="BX30" s="45">
        <v>2682704000</v>
      </c>
      <c r="BY30" s="45">
        <v>9217497136</v>
      </c>
      <c r="BZ30" s="22"/>
      <c r="CA30" s="22">
        <v>374234000</v>
      </c>
      <c r="CB30" s="58"/>
      <c r="CC30" s="58"/>
    </row>
    <row r="31" spans="1:81" ht="24.75" customHeight="1" x14ac:dyDescent="0.2">
      <c r="A31" s="42" t="s">
        <v>64</v>
      </c>
      <c r="B31" s="48">
        <f t="shared" ref="B31:G31" si="36">+B28-B29-B30</f>
        <v>25314083126.080044</v>
      </c>
      <c r="C31" s="48">
        <f t="shared" si="36"/>
        <v>41223823124.580002</v>
      </c>
      <c r="D31" s="155">
        <f t="shared" si="36"/>
        <v>37374</v>
      </c>
      <c r="E31" s="155">
        <f t="shared" si="36"/>
        <v>-51342</v>
      </c>
      <c r="F31" s="155">
        <f t="shared" si="36"/>
        <v>183830</v>
      </c>
      <c r="G31" s="155">
        <f t="shared" si="36"/>
        <v>560663</v>
      </c>
      <c r="H31" s="48">
        <f t="shared" ref="H31:O31" si="37">+H28-H29-H30</f>
        <v>633586244</v>
      </c>
      <c r="I31" s="48">
        <f t="shared" si="37"/>
        <v>-559127575</v>
      </c>
      <c r="J31" s="48">
        <f t="shared" si="37"/>
        <v>10299563</v>
      </c>
      <c r="K31" s="48">
        <f t="shared" si="37"/>
        <v>27360584</v>
      </c>
      <c r="L31" s="155">
        <f t="shared" si="37"/>
        <v>-20753524</v>
      </c>
      <c r="M31" s="155">
        <f t="shared" si="37"/>
        <v>-20753524</v>
      </c>
      <c r="N31" s="48">
        <f t="shared" si="37"/>
        <v>40756000</v>
      </c>
      <c r="O31" s="48">
        <f t="shared" si="37"/>
        <v>41052000</v>
      </c>
      <c r="P31" s="155">
        <f t="shared" ref="P31:W31" si="38">+P28-P29-P30</f>
        <v>0</v>
      </c>
      <c r="Q31" s="155">
        <f t="shared" si="38"/>
        <v>0</v>
      </c>
      <c r="R31" s="48">
        <f t="shared" si="38"/>
        <v>45798000</v>
      </c>
      <c r="S31" s="48">
        <f t="shared" si="38"/>
        <v>55730005</v>
      </c>
      <c r="T31" s="48">
        <f t="shared" si="38"/>
        <v>-96299512</v>
      </c>
      <c r="U31" s="48">
        <f t="shared" si="38"/>
        <v>99663409</v>
      </c>
      <c r="V31" s="48">
        <f t="shared" si="38"/>
        <v>0</v>
      </c>
      <c r="W31" s="48">
        <f t="shared" si="38"/>
        <v>0</v>
      </c>
      <c r="X31" s="48">
        <f t="shared" ref="X31:AE31" si="39">+X28-X29-X30</f>
        <v>97815280</v>
      </c>
      <c r="Y31" s="48">
        <f t="shared" si="39"/>
        <v>116719850</v>
      </c>
      <c r="Z31" s="48">
        <f t="shared" si="39"/>
        <v>179902107</v>
      </c>
      <c r="AA31" s="48">
        <f t="shared" si="39"/>
        <v>138911992</v>
      </c>
      <c r="AB31" s="48">
        <f t="shared" si="39"/>
        <v>20470908</v>
      </c>
      <c r="AC31" s="48">
        <f t="shared" si="39"/>
        <v>131276000</v>
      </c>
      <c r="AD31" s="48">
        <f t="shared" si="39"/>
        <v>0</v>
      </c>
      <c r="AE31" s="48">
        <f t="shared" si="39"/>
        <v>0</v>
      </c>
      <c r="AF31" s="48">
        <f>+AF28-AF29-AF30</f>
        <v>-246207125</v>
      </c>
      <c r="AG31" s="48">
        <f>+AG28-AG29-AG30</f>
        <v>-527314387</v>
      </c>
      <c r="AH31" s="48">
        <f>+AH28-AH29-AH30</f>
        <v>192870130</v>
      </c>
      <c r="AI31" s="48">
        <f>+AI28-AI29-AI30</f>
        <v>178683721</v>
      </c>
      <c r="AJ31" s="48">
        <f t="shared" ref="AJ31:AQ31" si="40">+AJ28-AJ29-AJ30</f>
        <v>527909455</v>
      </c>
      <c r="AK31" s="48">
        <f t="shared" si="40"/>
        <v>1562270622</v>
      </c>
      <c r="AL31" s="48">
        <f t="shared" si="40"/>
        <v>-1369907</v>
      </c>
      <c r="AM31" s="48">
        <f t="shared" si="40"/>
        <v>-111148</v>
      </c>
      <c r="AN31" s="48">
        <f t="shared" si="40"/>
        <v>196982659</v>
      </c>
      <c r="AO31" s="48">
        <f t="shared" si="40"/>
        <v>87391267</v>
      </c>
      <c r="AP31" s="48">
        <f t="shared" si="40"/>
        <v>274312221</v>
      </c>
      <c r="AQ31" s="48">
        <f t="shared" si="40"/>
        <v>544181153</v>
      </c>
      <c r="AR31" s="155">
        <f t="shared" ref="AR31:BA31" si="41">+AR28-AR29-AR30</f>
        <v>512803</v>
      </c>
      <c r="AS31" s="155">
        <f t="shared" si="41"/>
        <v>-907457</v>
      </c>
      <c r="AT31" s="48">
        <f t="shared" si="41"/>
        <v>17017441183</v>
      </c>
      <c r="AU31" s="48">
        <f t="shared" si="41"/>
        <v>26308160472</v>
      </c>
      <c r="AV31" s="155">
        <f t="shared" si="41"/>
        <v>0</v>
      </c>
      <c r="AW31" s="155">
        <f t="shared" si="41"/>
        <v>0</v>
      </c>
      <c r="AX31" s="155">
        <f t="shared" si="41"/>
        <v>0</v>
      </c>
      <c r="AY31" s="155">
        <f t="shared" si="41"/>
        <v>0</v>
      </c>
      <c r="AZ31" s="155">
        <f t="shared" si="41"/>
        <v>-27627000</v>
      </c>
      <c r="BA31" s="155">
        <f t="shared" si="41"/>
        <v>-41465000</v>
      </c>
      <c r="BB31" s="48">
        <f>+BB28-BB33-BB30</f>
        <v>221824646.0800004</v>
      </c>
      <c r="BC31" s="48">
        <f>+BC28-BC29-BC30</f>
        <v>192207609.57999992</v>
      </c>
      <c r="BD31" s="155">
        <f>+BD28-BD29-BD30</f>
        <v>0</v>
      </c>
      <c r="BE31" s="155">
        <f>+BE28-BE29-BE30</f>
        <v>0</v>
      </c>
      <c r="BF31" s="48">
        <f t="shared" ref="BF31:CC31" si="42">+BF28-BF29-BF30</f>
        <v>1577702156</v>
      </c>
      <c r="BG31" s="48">
        <f t="shared" si="42"/>
        <v>4359911693</v>
      </c>
      <c r="BH31" s="48">
        <f t="shared" si="42"/>
        <v>1022863168</v>
      </c>
      <c r="BI31" s="48">
        <f t="shared" si="42"/>
        <v>750769882</v>
      </c>
      <c r="BJ31" s="48">
        <f t="shared" si="42"/>
        <v>2545061287</v>
      </c>
      <c r="BK31" s="48">
        <f t="shared" si="42"/>
        <v>2028394949</v>
      </c>
      <c r="BL31" s="48">
        <f t="shared" si="42"/>
        <v>1646631772</v>
      </c>
      <c r="BM31" s="48">
        <f t="shared" si="42"/>
        <v>2128992235</v>
      </c>
      <c r="BN31" s="48">
        <f t="shared" si="42"/>
        <v>2361602169</v>
      </c>
      <c r="BO31" s="48">
        <f t="shared" si="42"/>
        <v>3104481049</v>
      </c>
      <c r="BP31" s="155">
        <f t="shared" si="42"/>
        <v>-15401</v>
      </c>
      <c r="BQ31" s="155">
        <f t="shared" si="42"/>
        <v>37611</v>
      </c>
      <c r="BR31" s="155">
        <f t="shared" si="42"/>
        <v>5430204</v>
      </c>
      <c r="BS31" s="155">
        <f t="shared" si="42"/>
        <v>-5801938</v>
      </c>
      <c r="BT31" s="48">
        <f t="shared" si="42"/>
        <v>-2582061575</v>
      </c>
      <c r="BU31" s="48">
        <f t="shared" si="42"/>
        <v>-1917197030</v>
      </c>
      <c r="BV31" s="155">
        <f t="shared" si="42"/>
        <v>29884047</v>
      </c>
      <c r="BW31" s="155">
        <f t="shared" si="42"/>
        <v>11190024</v>
      </c>
      <c r="BX31" s="48">
        <v>-3440899000</v>
      </c>
      <c r="BY31" s="48">
        <f t="shared" si="42"/>
        <v>-146645175</v>
      </c>
      <c r="BZ31" s="155">
        <v>22363000</v>
      </c>
      <c r="CA31" s="155">
        <f t="shared" si="42"/>
        <v>37836000</v>
      </c>
      <c r="CB31" s="48">
        <f t="shared" si="42"/>
        <v>-1404753036</v>
      </c>
      <c r="CC31" s="48">
        <f t="shared" si="42"/>
        <v>2537414910</v>
      </c>
    </row>
    <row r="32" spans="1:81" ht="24.75" customHeight="1" x14ac:dyDescent="0.2">
      <c r="A32" s="36" t="s">
        <v>65</v>
      </c>
      <c r="B32" s="43">
        <f t="shared" ref="B32:C35" si="43">+D32+F32+H32+J32+L32+N32+P32+R32+T32+V32+X32+Z32+AB32+AD32+AF32+AH32+AJ32+AL32+AN32+AP32+AR32+AT32+AV32+AX32+AZ32+BB32+BD32+BF32+BH32+BJ32+BL32+BN32+BP32+BR32+BT32+BV32+BX32+BZ32+CB32</f>
        <v>31767201837.419998</v>
      </c>
      <c r="C32" s="43">
        <f t="shared" si="43"/>
        <v>10712532493.73</v>
      </c>
      <c r="D32" s="22">
        <v>15203</v>
      </c>
      <c r="E32" s="63">
        <v>0</v>
      </c>
      <c r="F32" s="63">
        <v>8466</v>
      </c>
      <c r="G32" s="146">
        <v>8390</v>
      </c>
      <c r="H32" s="47">
        <v>128628274</v>
      </c>
      <c r="I32" s="47">
        <v>1573239802</v>
      </c>
      <c r="J32" s="50">
        <f>10597525+513478</f>
        <v>11111003</v>
      </c>
      <c r="K32" s="50">
        <f>5723467+724122</f>
        <v>6447589</v>
      </c>
      <c r="L32" s="63"/>
      <c r="M32" s="63"/>
      <c r="N32" s="47"/>
      <c r="O32" s="47"/>
      <c r="P32" s="63"/>
      <c r="Q32" s="63"/>
      <c r="R32" s="45"/>
      <c r="S32" s="45"/>
      <c r="T32" s="50">
        <v>181431967</v>
      </c>
      <c r="U32" s="50">
        <v>16254076</v>
      </c>
      <c r="V32" s="50"/>
      <c r="W32" s="50"/>
      <c r="X32" s="45"/>
      <c r="Y32" s="45"/>
      <c r="Z32" s="45">
        <v>231560444</v>
      </c>
      <c r="AA32" s="45">
        <v>96660738</v>
      </c>
      <c r="AB32" s="45">
        <v>0</v>
      </c>
      <c r="AC32" s="45">
        <v>1526000</v>
      </c>
      <c r="AD32" s="45"/>
      <c r="AE32" s="45"/>
      <c r="AF32" s="45">
        <f>1370185878+116181286+1275411</f>
        <v>1487642575</v>
      </c>
      <c r="AG32" s="45">
        <f>1636477805+202036078+415868</f>
        <v>1838929751</v>
      </c>
      <c r="AH32" s="45">
        <v>5446000</v>
      </c>
      <c r="AI32" s="45">
        <v>29384015</v>
      </c>
      <c r="AJ32" s="45">
        <v>40419660</v>
      </c>
      <c r="AK32" s="45">
        <v>57702297</v>
      </c>
      <c r="AL32" s="45">
        <v>446298</v>
      </c>
      <c r="AM32" s="45">
        <v>1677562</v>
      </c>
      <c r="AN32" s="45">
        <v>1212882939</v>
      </c>
      <c r="AO32" s="45">
        <v>1840263739</v>
      </c>
      <c r="AP32" s="201"/>
      <c r="AQ32" s="45"/>
      <c r="AR32" s="22">
        <f>239+225581</f>
        <v>225820</v>
      </c>
      <c r="AS32" s="22">
        <f>10306+2073826</f>
        <v>2084132</v>
      </c>
      <c r="AT32" s="45">
        <f>10183874+2309132293</f>
        <v>2319316167</v>
      </c>
      <c r="AU32" s="45">
        <f>292283+4440000215</f>
        <v>4440292498</v>
      </c>
      <c r="AV32" s="63"/>
      <c r="AW32" s="63"/>
      <c r="AX32" s="63"/>
      <c r="AY32" s="63"/>
      <c r="AZ32" s="22">
        <f>3428000+17648000</f>
        <v>21076000</v>
      </c>
      <c r="BA32" s="22">
        <f>6477000+26690000</f>
        <v>33167000</v>
      </c>
      <c r="BB32" s="45">
        <f>13694342.26+3734181.16</f>
        <v>17428523.420000002</v>
      </c>
      <c r="BC32" s="45">
        <f>13244835.34+1723990.39</f>
        <v>14968825.73</v>
      </c>
      <c r="BD32" s="63"/>
      <c r="BE32" s="63"/>
      <c r="BF32" s="45">
        <v>414122768</v>
      </c>
      <c r="BG32" s="45">
        <v>1301676464</v>
      </c>
      <c r="BH32" s="45">
        <f>58573661+103953</f>
        <v>58677614</v>
      </c>
      <c r="BI32" s="45">
        <f>22457030+2855956</f>
        <v>25312986</v>
      </c>
      <c r="BJ32" s="45">
        <v>80631605</v>
      </c>
      <c r="BK32" s="45">
        <v>-199003465</v>
      </c>
      <c r="BL32" s="45">
        <f>185542642+118643481</f>
        <v>304186123</v>
      </c>
      <c r="BM32" s="45">
        <f>12208794+331002415</f>
        <v>343211209</v>
      </c>
      <c r="BN32" s="45">
        <v>1286123</v>
      </c>
      <c r="BO32" s="45">
        <v>2465647</v>
      </c>
      <c r="BP32" s="22"/>
      <c r="BQ32" s="22"/>
      <c r="BR32" s="22">
        <f>193364+147731</f>
        <v>341095</v>
      </c>
      <c r="BS32" s="22">
        <f>5686677+203800</f>
        <v>5890477</v>
      </c>
      <c r="BT32" s="58">
        <v>9153787164</v>
      </c>
      <c r="BU32" s="47">
        <v>909695680</v>
      </c>
      <c r="BV32" s="22"/>
      <c r="BW32" s="63">
        <v>2231</v>
      </c>
      <c r="BX32" s="45"/>
      <c r="BY32" s="45">
        <v>91887751</v>
      </c>
      <c r="BZ32" s="63"/>
      <c r="CA32" s="22">
        <v>5720000</v>
      </c>
      <c r="CB32" s="45">
        <f>12002237633+25751228262+(-21656935889)</f>
        <v>16096530006</v>
      </c>
      <c r="CC32" s="45">
        <f>19107456420+5682365064+(-26516754385)</f>
        <v>-1726932901</v>
      </c>
    </row>
    <row r="33" spans="1:91" ht="24.75" customHeight="1" x14ac:dyDescent="0.2">
      <c r="A33" s="36" t="s">
        <v>66</v>
      </c>
      <c r="B33" s="43">
        <f t="shared" si="43"/>
        <v>42278176485</v>
      </c>
      <c r="C33" s="43">
        <f t="shared" si="43"/>
        <v>42554366071</v>
      </c>
      <c r="D33" s="22">
        <v>28572</v>
      </c>
      <c r="E33" s="63">
        <v>0</v>
      </c>
      <c r="F33" s="22">
        <f>443011+23568+59371</f>
        <v>525950</v>
      </c>
      <c r="G33" s="63">
        <f>393144+99576+14666</f>
        <v>507386</v>
      </c>
      <c r="H33" s="45">
        <f>7772383+387346807+56061125+7933562</f>
        <v>459113877</v>
      </c>
      <c r="I33" s="45">
        <f>9611519+799073325+3993630+15655816</f>
        <v>828334290</v>
      </c>
      <c r="J33" s="45">
        <v>989635</v>
      </c>
      <c r="K33" s="45">
        <v>4950518</v>
      </c>
      <c r="L33" s="22"/>
      <c r="M33" s="22"/>
      <c r="N33" s="45"/>
      <c r="O33" s="45"/>
      <c r="P33" s="22"/>
      <c r="Q33" s="22"/>
      <c r="R33" s="45"/>
      <c r="S33" s="45"/>
      <c r="T33" s="45">
        <v>74492000</v>
      </c>
      <c r="U33" s="45">
        <v>85446561</v>
      </c>
      <c r="V33" s="45"/>
      <c r="W33" s="45"/>
      <c r="X33" s="45"/>
      <c r="Y33" s="45"/>
      <c r="Z33" s="45">
        <v>213046598</v>
      </c>
      <c r="AA33" s="45">
        <v>178959404</v>
      </c>
      <c r="AB33" s="45">
        <v>4540731</v>
      </c>
      <c r="AC33" s="45">
        <v>55370000</v>
      </c>
      <c r="AD33" s="45"/>
      <c r="AE33" s="45"/>
      <c r="AF33" s="45">
        <v>165027666</v>
      </c>
      <c r="AG33" s="45">
        <v>216742877</v>
      </c>
      <c r="AH33" s="45">
        <v>863000</v>
      </c>
      <c r="AI33" s="45">
        <v>93654060</v>
      </c>
      <c r="AJ33" s="45">
        <v>75450470</v>
      </c>
      <c r="AK33" s="45">
        <v>261840050</v>
      </c>
      <c r="AL33" s="45">
        <f>1302410+3114416</f>
        <v>4416826</v>
      </c>
      <c r="AM33" s="45">
        <f>1617542+4487867</f>
        <v>6105409</v>
      </c>
      <c r="AN33" s="45">
        <v>64691266</v>
      </c>
      <c r="AO33" s="45">
        <v>133290886</v>
      </c>
      <c r="AP33" s="45">
        <v>52533493</v>
      </c>
      <c r="AQ33" s="45">
        <v>88858262</v>
      </c>
      <c r="AR33" s="22">
        <f>288877+29275</f>
        <v>318152</v>
      </c>
      <c r="AS33" s="22">
        <f>456493+193411</f>
        <v>649904</v>
      </c>
      <c r="AT33" s="45">
        <f>2358351594+77058516+7504170699+2949324617</f>
        <v>12888905426</v>
      </c>
      <c r="AU33" s="45">
        <f>3321390655+2011843+8114125417+901386150</f>
        <v>12338914065</v>
      </c>
      <c r="AV33" s="22"/>
      <c r="AW33" s="22"/>
      <c r="AX33" s="22"/>
      <c r="AY33" s="22"/>
      <c r="AZ33" s="22"/>
      <c r="BA33" s="22"/>
      <c r="BB33" s="45"/>
      <c r="BC33" s="45"/>
      <c r="BD33" s="22"/>
      <c r="BE33" s="22"/>
      <c r="BF33" s="45">
        <v>1491975678</v>
      </c>
      <c r="BG33" s="45">
        <v>2261795343</v>
      </c>
      <c r="BH33" s="45">
        <f>289198615+616982624+6150280+3812536</f>
        <v>916144055</v>
      </c>
      <c r="BI33" s="45">
        <f>171809671+368963015+18102717+13894515</f>
        <v>572769918</v>
      </c>
      <c r="BJ33" s="45">
        <f>2129361127+197208289</f>
        <v>2326569416</v>
      </c>
      <c r="BK33" s="45">
        <f>1315192869+278966465</f>
        <v>1594159334</v>
      </c>
      <c r="BL33" s="45">
        <f>1379760062+4500000+16987665+168634454</f>
        <v>1569882181</v>
      </c>
      <c r="BM33" s="45">
        <f>1621824661+16686976+125676423</f>
        <v>1764188060</v>
      </c>
      <c r="BN33" s="45">
        <v>239104425</v>
      </c>
      <c r="BO33" s="45">
        <v>287530255</v>
      </c>
      <c r="BP33" s="22"/>
      <c r="BQ33" s="22"/>
      <c r="BR33" s="22">
        <f>3823353+566870+2272845+1243557</f>
        <v>7906625</v>
      </c>
      <c r="BS33" s="22">
        <f>5167896+761424+2995476+1677875</f>
        <v>10602671</v>
      </c>
      <c r="BT33" s="199">
        <v>2296226447</v>
      </c>
      <c r="BU33" s="45">
        <v>3321749832</v>
      </c>
      <c r="BV33" s="22">
        <f>3402852+3976371</f>
        <v>7379223</v>
      </c>
      <c r="BW33" s="22">
        <f>1307257+59045</f>
        <v>1366302</v>
      </c>
      <c r="BX33" s="45"/>
      <c r="BY33" s="45">
        <v>112723072</v>
      </c>
      <c r="BZ33" s="22"/>
      <c r="CA33" s="22"/>
      <c r="CB33" s="45">
        <f>18812759507+605285266</f>
        <v>19418044773</v>
      </c>
      <c r="CC33" s="45">
        <f>17666989387+666868225</f>
        <v>18333857612</v>
      </c>
    </row>
    <row r="34" spans="1:91" ht="24.75" customHeight="1" x14ac:dyDescent="0.2">
      <c r="A34" s="34" t="s">
        <v>67</v>
      </c>
      <c r="B34" s="46">
        <f t="shared" si="43"/>
        <v>13759839858.5</v>
      </c>
      <c r="C34" s="46">
        <f t="shared" si="43"/>
        <v>9381989547.3100014</v>
      </c>
      <c r="D34" s="63">
        <f>+D31+D32-D33</f>
        <v>24005</v>
      </c>
      <c r="E34" s="63">
        <f>+E31+E32-E33</f>
        <v>-51342</v>
      </c>
      <c r="F34" s="202">
        <f t="shared" ref="F34:M34" si="44">+F31+F32-F33</f>
        <v>-333654</v>
      </c>
      <c r="G34" s="202">
        <f t="shared" si="44"/>
        <v>61667</v>
      </c>
      <c r="H34" s="47">
        <f t="shared" si="44"/>
        <v>303100641</v>
      </c>
      <c r="I34" s="47">
        <f t="shared" si="44"/>
        <v>185777937</v>
      </c>
      <c r="J34" s="47">
        <f t="shared" si="44"/>
        <v>20420931</v>
      </c>
      <c r="K34" s="47">
        <f t="shared" si="44"/>
        <v>28857655</v>
      </c>
      <c r="L34" s="63">
        <f t="shared" si="44"/>
        <v>-20753524</v>
      </c>
      <c r="M34" s="63">
        <f t="shared" si="44"/>
        <v>-20753524</v>
      </c>
      <c r="N34" s="47">
        <f>+N31+N32-N33</f>
        <v>40756000</v>
      </c>
      <c r="O34" s="47">
        <f>+O31+O32-O33</f>
        <v>41052000</v>
      </c>
      <c r="P34" s="63"/>
      <c r="Q34" s="63"/>
      <c r="R34" s="47">
        <f>+R31+R32-R33</f>
        <v>45798000</v>
      </c>
      <c r="S34" s="47">
        <f>+S31+S32-S33</f>
        <v>55730005</v>
      </c>
      <c r="T34" s="47">
        <f>+T31+T32-T33</f>
        <v>10640455</v>
      </c>
      <c r="U34" s="47">
        <f>+U31+U32-U33</f>
        <v>30470924</v>
      </c>
      <c r="V34" s="47"/>
      <c r="W34" s="47"/>
      <c r="X34" s="47">
        <f t="shared" ref="X34:AC34" si="45">+X31+X32-X33</f>
        <v>97815280</v>
      </c>
      <c r="Y34" s="47">
        <f t="shared" si="45"/>
        <v>116719850</v>
      </c>
      <c r="Z34" s="47">
        <f t="shared" si="45"/>
        <v>198415953</v>
      </c>
      <c r="AA34" s="47">
        <f t="shared" si="45"/>
        <v>56613326</v>
      </c>
      <c r="AB34" s="47">
        <f t="shared" si="45"/>
        <v>15930177</v>
      </c>
      <c r="AC34" s="47">
        <f t="shared" si="45"/>
        <v>77432000</v>
      </c>
      <c r="AD34" s="45"/>
      <c r="AE34" s="45"/>
      <c r="AF34" s="47">
        <f>+AF31+AF32-AF33</f>
        <v>1076407784</v>
      </c>
      <c r="AG34" s="47">
        <f>+AG31+AG32-AG33</f>
        <v>1094872487</v>
      </c>
      <c r="AH34" s="47">
        <f>+AH31+AH32-AH33</f>
        <v>197453130</v>
      </c>
      <c r="AI34" s="47">
        <f>+AI31+AI32-AI33</f>
        <v>114413676</v>
      </c>
      <c r="AJ34" s="47">
        <f t="shared" ref="AJ34:AQ34" si="46">+AJ31+AJ32-AJ33</f>
        <v>492878645</v>
      </c>
      <c r="AK34" s="47">
        <f t="shared" si="46"/>
        <v>1358132869</v>
      </c>
      <c r="AL34" s="47">
        <f t="shared" si="46"/>
        <v>-5340435</v>
      </c>
      <c r="AM34" s="47">
        <f t="shared" si="46"/>
        <v>-4538995</v>
      </c>
      <c r="AN34" s="47">
        <f t="shared" si="46"/>
        <v>1345174332</v>
      </c>
      <c r="AO34" s="47">
        <f t="shared" si="46"/>
        <v>1794364120</v>
      </c>
      <c r="AP34" s="47">
        <f t="shared" si="46"/>
        <v>221778728</v>
      </c>
      <c r="AQ34" s="47">
        <f t="shared" si="46"/>
        <v>455322891</v>
      </c>
      <c r="AR34" s="63">
        <f>+AR31+AR32-AR33</f>
        <v>420471</v>
      </c>
      <c r="AS34" s="63">
        <f>+AS31+AS32-AS33</f>
        <v>526771</v>
      </c>
      <c r="AT34" s="47">
        <f>+AT31+AT32-AT33</f>
        <v>6447851924</v>
      </c>
      <c r="AU34" s="47">
        <f>+AU31+AU32-AU33</f>
        <v>18409538905</v>
      </c>
      <c r="AV34" s="63"/>
      <c r="AW34" s="63"/>
      <c r="AX34" s="63">
        <f t="shared" ref="AX34:BC34" si="47">+AX31+AX32-AX33</f>
        <v>0</v>
      </c>
      <c r="AY34" s="63">
        <f t="shared" si="47"/>
        <v>0</v>
      </c>
      <c r="AZ34" s="63">
        <f t="shared" si="47"/>
        <v>-6551000</v>
      </c>
      <c r="BA34" s="63">
        <f t="shared" si="47"/>
        <v>-8298000</v>
      </c>
      <c r="BB34" s="47">
        <f t="shared" si="47"/>
        <v>239253169.50000042</v>
      </c>
      <c r="BC34" s="47">
        <f t="shared" si="47"/>
        <v>207176435.30999991</v>
      </c>
      <c r="BD34" s="63"/>
      <c r="BE34" s="63"/>
      <c r="BF34" s="47">
        <f t="shared" ref="BF34:BM34" si="48">+BF31+BF32-BF33</f>
        <v>499849246</v>
      </c>
      <c r="BG34" s="47">
        <f t="shared" si="48"/>
        <v>3399792814</v>
      </c>
      <c r="BH34" s="47">
        <f t="shared" si="48"/>
        <v>165396727</v>
      </c>
      <c r="BI34" s="47">
        <f t="shared" si="48"/>
        <v>203312950</v>
      </c>
      <c r="BJ34" s="47">
        <f t="shared" si="48"/>
        <v>299123476</v>
      </c>
      <c r="BK34" s="47">
        <f t="shared" si="48"/>
        <v>235232150</v>
      </c>
      <c r="BL34" s="47">
        <f t="shared" si="48"/>
        <v>380935714</v>
      </c>
      <c r="BM34" s="47">
        <f t="shared" si="48"/>
        <v>708015384</v>
      </c>
      <c r="BN34" s="47">
        <f t="shared" ref="BN34:BU34" si="49">+BN31+BN32-BN33</f>
        <v>2123783867</v>
      </c>
      <c r="BO34" s="47">
        <f t="shared" si="49"/>
        <v>2819416441</v>
      </c>
      <c r="BP34" s="63">
        <v>8979</v>
      </c>
      <c r="BQ34" s="63">
        <f t="shared" si="49"/>
        <v>37611</v>
      </c>
      <c r="BR34" s="63">
        <f t="shared" si="49"/>
        <v>-2135326</v>
      </c>
      <c r="BS34" s="63">
        <f t="shared" si="49"/>
        <v>-10514132</v>
      </c>
      <c r="BT34" s="47">
        <f t="shared" si="49"/>
        <v>4275499142</v>
      </c>
      <c r="BU34" s="47">
        <f t="shared" si="49"/>
        <v>-4329251182</v>
      </c>
      <c r="BV34" s="63">
        <f>+BV31+BV32-BV33</f>
        <v>22504824</v>
      </c>
      <c r="BW34" s="63">
        <f>+BW31+BW32-BW33</f>
        <v>9825953</v>
      </c>
      <c r="BX34" s="47"/>
      <c r="BY34" s="47">
        <f>+BY31+BY32-BY33</f>
        <v>-167480496</v>
      </c>
      <c r="BZ34" s="63"/>
      <c r="CA34" s="63">
        <f>+CA31+CA32-CA33</f>
        <v>43556000</v>
      </c>
      <c r="CB34" s="47">
        <f>+CB31+CB32-CB33</f>
        <v>-4726267803</v>
      </c>
      <c r="CC34" s="47">
        <f>+CC31+CC32-CC33</f>
        <v>-17523375603</v>
      </c>
    </row>
    <row r="35" spans="1:91" ht="24.75" customHeight="1" x14ac:dyDescent="0.2">
      <c r="A35" s="36" t="s">
        <v>68</v>
      </c>
      <c r="B35" s="43">
        <f t="shared" si="43"/>
        <v>3884554442</v>
      </c>
      <c r="C35" s="43">
        <f t="shared" si="43"/>
        <v>9140723983</v>
      </c>
      <c r="D35" s="22">
        <v>7441</v>
      </c>
      <c r="E35" s="22">
        <v>0</v>
      </c>
      <c r="F35" s="22"/>
      <c r="G35" s="22">
        <f>27190+27244</f>
        <v>54434</v>
      </c>
      <c r="H35" s="45">
        <v>116699209</v>
      </c>
      <c r="I35" s="45">
        <v>65022278</v>
      </c>
      <c r="J35" s="45">
        <v>4732977</v>
      </c>
      <c r="K35" s="45">
        <v>12300295</v>
      </c>
      <c r="L35" s="22"/>
      <c r="M35" s="22">
        <v>0</v>
      </c>
      <c r="N35" s="45">
        <v>0</v>
      </c>
      <c r="O35" s="45">
        <v>0</v>
      </c>
      <c r="P35" s="22"/>
      <c r="Q35" s="22"/>
      <c r="R35" s="45">
        <v>14197380</v>
      </c>
      <c r="S35" s="45">
        <v>19505502</v>
      </c>
      <c r="T35" s="45">
        <v>4137955</v>
      </c>
      <c r="U35" s="45">
        <v>2818000</v>
      </c>
      <c r="V35" s="45"/>
      <c r="W35" s="45"/>
      <c r="X35" s="45">
        <v>9781528</v>
      </c>
      <c r="Y35" s="45">
        <v>11671985</v>
      </c>
      <c r="Z35" s="45">
        <v>-34035103</v>
      </c>
      <c r="AA35" s="45">
        <v>-42018000</v>
      </c>
      <c r="AB35" s="45">
        <v>-6216000</v>
      </c>
      <c r="AC35" s="45">
        <v>-34448000</v>
      </c>
      <c r="AD35" s="45"/>
      <c r="AE35" s="45"/>
      <c r="AF35" s="45">
        <f>+(-133409000)+63999007</f>
        <v>-69409993</v>
      </c>
      <c r="AG35" s="45">
        <f>+(-171693000)+187565836</f>
        <v>15872836</v>
      </c>
      <c r="AH35" s="45">
        <v>31555000</v>
      </c>
      <c r="AI35" s="45">
        <v>65025000</v>
      </c>
      <c r="AJ35" s="45">
        <v>-156900882</v>
      </c>
      <c r="AK35" s="45">
        <v>-492230235</v>
      </c>
      <c r="AL35" s="45">
        <f>342498+1269445</f>
        <v>1611943</v>
      </c>
      <c r="AM35" s="45">
        <f>2371373+7620777</f>
        <v>9992150</v>
      </c>
      <c r="AN35" s="45">
        <f>135000000-195249876</f>
        <v>-60249876</v>
      </c>
      <c r="AO35" s="45">
        <f>225000000+184723980</f>
        <v>409723980</v>
      </c>
      <c r="AP35" s="45">
        <v>91686725</v>
      </c>
      <c r="AQ35" s="45">
        <v>159363011</v>
      </c>
      <c r="AR35" s="22">
        <v>161320</v>
      </c>
      <c r="AS35" s="22">
        <v>128548</v>
      </c>
      <c r="AT35" s="45">
        <f>986262000+138533836</f>
        <v>1124795836</v>
      </c>
      <c r="AU35" s="45">
        <f>4197678970+1817874824</f>
        <v>6015553794</v>
      </c>
      <c r="AV35" s="22"/>
      <c r="AW35" s="22"/>
      <c r="AX35" s="22"/>
      <c r="AY35" s="22"/>
      <c r="AZ35" s="22">
        <v>1856000</v>
      </c>
      <c r="BA35" s="22">
        <v>3777000</v>
      </c>
      <c r="BB35" s="45">
        <v>94080513</v>
      </c>
      <c r="BC35" s="45">
        <v>93039620</v>
      </c>
      <c r="BD35" s="22"/>
      <c r="BE35" s="22"/>
      <c r="BF35" s="45">
        <f>176890000+(-286129904)</f>
        <v>-109239904</v>
      </c>
      <c r="BG35" s="45">
        <f>633275000+642478400</f>
        <v>1275753400</v>
      </c>
      <c r="BH35" s="45">
        <v>54406000</v>
      </c>
      <c r="BI35" s="45">
        <v>78571000</v>
      </c>
      <c r="BJ35" s="45">
        <v>123518000</v>
      </c>
      <c r="BK35" s="45">
        <v>123945000</v>
      </c>
      <c r="BL35" s="45">
        <v>117293773</v>
      </c>
      <c r="BM35" s="45">
        <v>310568306</v>
      </c>
      <c r="BN35" s="45">
        <v>689848387</v>
      </c>
      <c r="BO35" s="45">
        <v>1013373603</v>
      </c>
      <c r="BP35" s="22">
        <v>2783</v>
      </c>
      <c r="BQ35" s="22">
        <v>13164</v>
      </c>
      <c r="BR35" s="22">
        <v>638682</v>
      </c>
      <c r="BS35" s="22">
        <v>2739312</v>
      </c>
      <c r="BT35" s="60"/>
      <c r="BU35" s="45"/>
      <c r="BV35" s="22">
        <v>7247000</v>
      </c>
      <c r="BW35" s="22">
        <v>5363000</v>
      </c>
      <c r="BX35" s="45"/>
      <c r="BY35" s="45"/>
      <c r="BZ35" s="22"/>
      <c r="CA35" s="22">
        <v>15245000</v>
      </c>
      <c r="CB35" s="45">
        <v>1832347748</v>
      </c>
      <c r="CC35" s="45"/>
    </row>
    <row r="36" spans="1:91" s="63" customFormat="1" ht="24.75" customHeight="1" x14ac:dyDescent="0.2">
      <c r="A36" s="42" t="s">
        <v>69</v>
      </c>
      <c r="B36" s="48">
        <f t="shared" ref="B36:G36" si="50">+B34-B35</f>
        <v>9875285416.5</v>
      </c>
      <c r="C36" s="48">
        <f t="shared" si="50"/>
        <v>241265564.31000137</v>
      </c>
      <c r="D36" s="155">
        <f t="shared" si="50"/>
        <v>16564</v>
      </c>
      <c r="E36" s="155">
        <f t="shared" si="50"/>
        <v>-51342</v>
      </c>
      <c r="F36" s="155">
        <f t="shared" si="50"/>
        <v>-333654</v>
      </c>
      <c r="G36" s="155">
        <f t="shared" si="50"/>
        <v>7233</v>
      </c>
      <c r="H36" s="48">
        <f t="shared" ref="H36:Q36" si="51">+H34-H35</f>
        <v>186401432</v>
      </c>
      <c r="I36" s="48">
        <f t="shared" si="51"/>
        <v>120755659</v>
      </c>
      <c r="J36" s="48">
        <f>+J34-J35</f>
        <v>15687954</v>
      </c>
      <c r="K36" s="48">
        <f t="shared" si="51"/>
        <v>16557360</v>
      </c>
      <c r="L36" s="155">
        <f t="shared" si="51"/>
        <v>-20753524</v>
      </c>
      <c r="M36" s="155">
        <f t="shared" si="51"/>
        <v>-20753524</v>
      </c>
      <c r="N36" s="48">
        <f t="shared" si="51"/>
        <v>40756000</v>
      </c>
      <c r="O36" s="48">
        <f t="shared" si="51"/>
        <v>41052000</v>
      </c>
      <c r="P36" s="155">
        <f t="shared" si="51"/>
        <v>0</v>
      </c>
      <c r="Q36" s="155">
        <f t="shared" si="51"/>
        <v>0</v>
      </c>
      <c r="R36" s="48">
        <f t="shared" ref="R36:Y36" si="52">+R34-R35</f>
        <v>31600620</v>
      </c>
      <c r="S36" s="48">
        <f t="shared" si="52"/>
        <v>36224503</v>
      </c>
      <c r="T36" s="48">
        <f t="shared" si="52"/>
        <v>6502500</v>
      </c>
      <c r="U36" s="48">
        <f t="shared" si="52"/>
        <v>27652924</v>
      </c>
      <c r="V36" s="155">
        <f t="shared" si="52"/>
        <v>0</v>
      </c>
      <c r="W36" s="155">
        <f t="shared" si="52"/>
        <v>0</v>
      </c>
      <c r="X36" s="48">
        <f t="shared" si="52"/>
        <v>88033752</v>
      </c>
      <c r="Y36" s="48">
        <f t="shared" si="52"/>
        <v>105047865</v>
      </c>
      <c r="Z36" s="48">
        <f t="shared" ref="Z36:AG36" si="53">+Z34+Z35</f>
        <v>164380850</v>
      </c>
      <c r="AA36" s="48">
        <f t="shared" si="53"/>
        <v>14595326</v>
      </c>
      <c r="AB36" s="48">
        <f t="shared" si="53"/>
        <v>9714177</v>
      </c>
      <c r="AC36" s="48">
        <f t="shared" si="53"/>
        <v>42984000</v>
      </c>
      <c r="AD36" s="48">
        <f t="shared" si="53"/>
        <v>0</v>
      </c>
      <c r="AE36" s="48">
        <f t="shared" si="53"/>
        <v>0</v>
      </c>
      <c r="AF36" s="48">
        <f t="shared" si="53"/>
        <v>1006997791</v>
      </c>
      <c r="AG36" s="48">
        <f t="shared" si="53"/>
        <v>1110745323</v>
      </c>
      <c r="AH36" s="48">
        <f>+AH34-AH35</f>
        <v>165898130</v>
      </c>
      <c r="AI36" s="48">
        <f>+AI34-AI35</f>
        <v>49388676</v>
      </c>
      <c r="AJ36" s="48">
        <f>+AJ34+AJ35</f>
        <v>335977763</v>
      </c>
      <c r="AK36" s="48">
        <f>+AK34+AK35</f>
        <v>865902634</v>
      </c>
      <c r="AL36" s="48">
        <f>+AL34+AL35</f>
        <v>-3728492</v>
      </c>
      <c r="AM36" s="48">
        <f>+AM34+AM35</f>
        <v>5453155</v>
      </c>
      <c r="AN36" s="48">
        <f t="shared" ref="AN36:AW36" si="54">+AN34-AN35</f>
        <v>1405424208</v>
      </c>
      <c r="AO36" s="48">
        <f t="shared" si="54"/>
        <v>1384640140</v>
      </c>
      <c r="AP36" s="48">
        <f t="shared" si="54"/>
        <v>130092003</v>
      </c>
      <c r="AQ36" s="48">
        <f t="shared" si="54"/>
        <v>295959880</v>
      </c>
      <c r="AR36" s="155">
        <f t="shared" si="54"/>
        <v>259151</v>
      </c>
      <c r="AS36" s="155">
        <f t="shared" si="54"/>
        <v>398223</v>
      </c>
      <c r="AT36" s="48">
        <f t="shared" si="54"/>
        <v>5323056088</v>
      </c>
      <c r="AU36" s="48">
        <f t="shared" si="54"/>
        <v>12393985111</v>
      </c>
      <c r="AV36" s="155">
        <f t="shared" si="54"/>
        <v>0</v>
      </c>
      <c r="AW36" s="155">
        <f t="shared" si="54"/>
        <v>0</v>
      </c>
      <c r="AX36" s="155">
        <f>+AX34-AX35</f>
        <v>0</v>
      </c>
      <c r="AY36" s="155">
        <f>+AY34-AY35</f>
        <v>0</v>
      </c>
      <c r="AZ36" s="155">
        <f>+AZ34+AZ35</f>
        <v>-4695000</v>
      </c>
      <c r="BA36" s="155">
        <f>+BA34+BA35</f>
        <v>-4521000</v>
      </c>
      <c r="BB36" s="48">
        <f>+BB34-BB35</f>
        <v>145172656.50000042</v>
      </c>
      <c r="BC36" s="48">
        <f>+BC34-BC35</f>
        <v>114136815.30999991</v>
      </c>
      <c r="BD36" s="155">
        <f>+BD34-BD35</f>
        <v>0</v>
      </c>
      <c r="BE36" s="155">
        <f>+BE34-BE35</f>
        <v>0</v>
      </c>
      <c r="BF36" s="48">
        <f t="shared" ref="BF36:CB36" si="55">+BF34-BF35</f>
        <v>609089150</v>
      </c>
      <c r="BG36" s="48">
        <f t="shared" si="55"/>
        <v>2124039414</v>
      </c>
      <c r="BH36" s="48">
        <f t="shared" si="55"/>
        <v>110990727</v>
      </c>
      <c r="BI36" s="48">
        <f t="shared" si="55"/>
        <v>124741950</v>
      </c>
      <c r="BJ36" s="48">
        <f t="shared" si="55"/>
        <v>175605476</v>
      </c>
      <c r="BK36" s="48">
        <f t="shared" si="55"/>
        <v>111287150</v>
      </c>
      <c r="BL36" s="48">
        <f t="shared" si="55"/>
        <v>263641941</v>
      </c>
      <c r="BM36" s="48">
        <f t="shared" si="55"/>
        <v>397447078</v>
      </c>
      <c r="BN36" s="48">
        <f t="shared" si="55"/>
        <v>1433935480</v>
      </c>
      <c r="BO36" s="48">
        <f>+BO34-BO35</f>
        <v>1806042838</v>
      </c>
      <c r="BP36" s="155">
        <f t="shared" si="55"/>
        <v>6196</v>
      </c>
      <c r="BQ36" s="155">
        <f>+BQ34-BQ35</f>
        <v>24447</v>
      </c>
      <c r="BR36" s="155">
        <f>+BR34+BR35</f>
        <v>-1496644</v>
      </c>
      <c r="BS36" s="155">
        <f>+BS34+BS35</f>
        <v>-7774820</v>
      </c>
      <c r="BT36" s="48">
        <f t="shared" si="55"/>
        <v>4275499142</v>
      </c>
      <c r="BU36" s="48">
        <f t="shared" si="55"/>
        <v>-4329251182</v>
      </c>
      <c r="BV36" s="155">
        <f>+BV34-BV35</f>
        <v>15257824</v>
      </c>
      <c r="BW36" s="155">
        <f t="shared" si="55"/>
        <v>4462953</v>
      </c>
      <c r="BX36" s="48">
        <v>-3214708000</v>
      </c>
      <c r="BY36" s="48">
        <f t="shared" si="55"/>
        <v>-167480496</v>
      </c>
      <c r="BZ36" s="155">
        <v>15430000</v>
      </c>
      <c r="CA36" s="155">
        <f t="shared" si="55"/>
        <v>28311000</v>
      </c>
      <c r="CB36" s="48">
        <f t="shared" si="55"/>
        <v>-6558615551</v>
      </c>
      <c r="CC36" s="48">
        <f>+CC34+CC35</f>
        <v>-17523375603</v>
      </c>
    </row>
    <row r="37" spans="1:91" s="203" customFormat="1" ht="12.75" customHeight="1" x14ac:dyDescent="0.2">
      <c r="A37" s="258" t="s">
        <v>165</v>
      </c>
      <c r="B37" s="115">
        <f>+B10-B27</f>
        <v>0</v>
      </c>
      <c r="C37" s="115">
        <f t="shared" ref="C37:BN37" si="56">+C10-C27</f>
        <v>0</v>
      </c>
      <c r="D37" s="115">
        <f t="shared" si="56"/>
        <v>0</v>
      </c>
      <c r="E37" s="115">
        <f t="shared" si="56"/>
        <v>0</v>
      </c>
      <c r="F37" s="115">
        <f t="shared" si="56"/>
        <v>0</v>
      </c>
      <c r="G37" s="115">
        <f t="shared" si="56"/>
        <v>0</v>
      </c>
      <c r="H37" s="115">
        <f t="shared" si="56"/>
        <v>0</v>
      </c>
      <c r="I37" s="115">
        <f t="shared" si="56"/>
        <v>0</v>
      </c>
      <c r="J37" s="115">
        <f t="shared" si="56"/>
        <v>0</v>
      </c>
      <c r="K37" s="115">
        <f t="shared" si="56"/>
        <v>0</v>
      </c>
      <c r="L37" s="115">
        <f t="shared" si="56"/>
        <v>0</v>
      </c>
      <c r="M37" s="115">
        <f t="shared" si="56"/>
        <v>0</v>
      </c>
      <c r="N37" s="115">
        <f t="shared" si="56"/>
        <v>0</v>
      </c>
      <c r="O37" s="115">
        <f t="shared" si="56"/>
        <v>0</v>
      </c>
      <c r="P37" s="115">
        <f t="shared" si="56"/>
        <v>0</v>
      </c>
      <c r="Q37" s="115">
        <f t="shared" si="56"/>
        <v>0</v>
      </c>
      <c r="R37" s="115">
        <f t="shared" si="56"/>
        <v>0</v>
      </c>
      <c r="S37" s="115">
        <f t="shared" si="56"/>
        <v>0</v>
      </c>
      <c r="T37" s="115">
        <f t="shared" si="56"/>
        <v>0</v>
      </c>
      <c r="U37" s="115">
        <f t="shared" si="56"/>
        <v>0</v>
      </c>
      <c r="V37" s="115">
        <f t="shared" si="56"/>
        <v>0</v>
      </c>
      <c r="W37" s="115">
        <f t="shared" si="56"/>
        <v>0</v>
      </c>
      <c r="X37" s="115">
        <f t="shared" si="56"/>
        <v>0</v>
      </c>
      <c r="Y37" s="115">
        <f t="shared" si="56"/>
        <v>0</v>
      </c>
      <c r="Z37" s="115">
        <f t="shared" si="56"/>
        <v>0</v>
      </c>
      <c r="AA37" s="115">
        <f t="shared" si="56"/>
        <v>0</v>
      </c>
      <c r="AB37" s="115">
        <f t="shared" si="56"/>
        <v>0</v>
      </c>
      <c r="AC37" s="115">
        <f t="shared" si="56"/>
        <v>0</v>
      </c>
      <c r="AD37" s="115">
        <f t="shared" si="56"/>
        <v>0</v>
      </c>
      <c r="AE37" s="115">
        <f t="shared" si="56"/>
        <v>0</v>
      </c>
      <c r="AF37" s="115">
        <f t="shared" si="56"/>
        <v>0</v>
      </c>
      <c r="AG37" s="115">
        <f t="shared" si="56"/>
        <v>0</v>
      </c>
      <c r="AH37" s="115">
        <f t="shared" si="56"/>
        <v>0</v>
      </c>
      <c r="AI37" s="115">
        <f t="shared" si="56"/>
        <v>0</v>
      </c>
      <c r="AJ37" s="115">
        <f t="shared" si="56"/>
        <v>0</v>
      </c>
      <c r="AK37" s="115">
        <f t="shared" si="56"/>
        <v>0</v>
      </c>
      <c r="AL37" s="115">
        <f t="shared" si="56"/>
        <v>0</v>
      </c>
      <c r="AM37" s="115">
        <f t="shared" si="56"/>
        <v>0</v>
      </c>
      <c r="AN37" s="115">
        <f t="shared" si="56"/>
        <v>0</v>
      </c>
      <c r="AO37" s="115">
        <f t="shared" si="56"/>
        <v>0</v>
      </c>
      <c r="AP37" s="115">
        <f t="shared" si="56"/>
        <v>0</v>
      </c>
      <c r="AQ37" s="115">
        <f t="shared" si="56"/>
        <v>0</v>
      </c>
      <c r="AR37" s="115">
        <f t="shared" si="56"/>
        <v>0</v>
      </c>
      <c r="AS37" s="115">
        <f t="shared" si="56"/>
        <v>0</v>
      </c>
      <c r="AT37" s="115">
        <f t="shared" si="56"/>
        <v>0</v>
      </c>
      <c r="AU37" s="115">
        <f t="shared" si="56"/>
        <v>0</v>
      </c>
      <c r="AV37" s="115">
        <f t="shared" si="56"/>
        <v>0</v>
      </c>
      <c r="AW37" s="115">
        <f t="shared" si="56"/>
        <v>0</v>
      </c>
      <c r="AX37" s="115">
        <f t="shared" si="56"/>
        <v>0</v>
      </c>
      <c r="AY37" s="115">
        <f t="shared" si="56"/>
        <v>0</v>
      </c>
      <c r="AZ37" s="115">
        <f t="shared" si="56"/>
        <v>0</v>
      </c>
      <c r="BA37" s="115">
        <f t="shared" si="56"/>
        <v>0</v>
      </c>
      <c r="BB37" s="115">
        <f t="shared" si="56"/>
        <v>0</v>
      </c>
      <c r="BC37" s="115">
        <f t="shared" si="56"/>
        <v>0</v>
      </c>
      <c r="BD37" s="115">
        <f t="shared" si="56"/>
        <v>0</v>
      </c>
      <c r="BE37" s="115">
        <f t="shared" si="56"/>
        <v>0</v>
      </c>
      <c r="BF37" s="115">
        <f t="shared" si="56"/>
        <v>0</v>
      </c>
      <c r="BG37" s="115">
        <f t="shared" si="56"/>
        <v>0</v>
      </c>
      <c r="BH37" s="115">
        <f t="shared" si="56"/>
        <v>0</v>
      </c>
      <c r="BI37" s="115">
        <f t="shared" si="56"/>
        <v>0</v>
      </c>
      <c r="BJ37" s="115">
        <f t="shared" si="56"/>
        <v>0</v>
      </c>
      <c r="BK37" s="115">
        <f t="shared" si="56"/>
        <v>0</v>
      </c>
      <c r="BL37" s="115">
        <f t="shared" si="56"/>
        <v>0</v>
      </c>
      <c r="BM37" s="115">
        <f t="shared" si="56"/>
        <v>0</v>
      </c>
      <c r="BN37" s="115">
        <f t="shared" si="56"/>
        <v>0</v>
      </c>
      <c r="BO37" s="115">
        <f t="shared" ref="BO37:CC37" si="57">+BO10-BO27</f>
        <v>0</v>
      </c>
      <c r="BP37" s="115">
        <f t="shared" si="57"/>
        <v>0</v>
      </c>
      <c r="BQ37" s="115">
        <f t="shared" si="57"/>
        <v>0</v>
      </c>
      <c r="BR37" s="115">
        <f t="shared" si="57"/>
        <v>0</v>
      </c>
      <c r="BS37" s="115">
        <f t="shared" si="57"/>
        <v>0</v>
      </c>
      <c r="BT37" s="115">
        <f t="shared" si="57"/>
        <v>0</v>
      </c>
      <c r="BU37" s="115">
        <f t="shared" si="57"/>
        <v>0</v>
      </c>
      <c r="BV37" s="115">
        <f t="shared" si="57"/>
        <v>0</v>
      </c>
      <c r="BW37" s="115">
        <f t="shared" si="57"/>
        <v>0</v>
      </c>
      <c r="BX37" s="115">
        <f t="shared" si="57"/>
        <v>0</v>
      </c>
      <c r="BY37" s="115">
        <f t="shared" si="57"/>
        <v>0</v>
      </c>
      <c r="BZ37" s="115">
        <f t="shared" si="57"/>
        <v>0</v>
      </c>
      <c r="CA37" s="115">
        <f t="shared" si="57"/>
        <v>0</v>
      </c>
      <c r="CB37" s="115">
        <f t="shared" si="57"/>
        <v>0</v>
      </c>
      <c r="CC37" s="115">
        <f t="shared" si="57"/>
        <v>0</v>
      </c>
      <c r="CD37" s="157"/>
      <c r="CE37" s="157"/>
      <c r="CF37" s="157"/>
      <c r="CG37" s="157"/>
      <c r="CH37" s="157"/>
      <c r="CI37" s="157"/>
      <c r="CJ37" s="157"/>
      <c r="CK37" s="157"/>
      <c r="CL37" s="157"/>
      <c r="CM37" s="157"/>
    </row>
    <row r="38" spans="1:91" s="203" customFormat="1" ht="13.5" customHeight="1" x14ac:dyDescent="0.2">
      <c r="A38" s="258"/>
    </row>
    <row r="39" spans="1:91" s="203" customFormat="1" ht="13.5" customHeight="1" x14ac:dyDescent="0.2">
      <c r="A39" s="258"/>
      <c r="B39" s="205"/>
    </row>
    <row r="40" spans="1:91" s="203" customFormat="1" ht="12.75" customHeight="1" x14ac:dyDescent="0.2">
      <c r="A40" s="258" t="s">
        <v>166</v>
      </c>
    </row>
    <row r="41" spans="1:91" s="203" customFormat="1" ht="13.5" customHeight="1" x14ac:dyDescent="0.2">
      <c r="A41" s="258"/>
    </row>
    <row r="42" spans="1:91" s="203" customFormat="1" ht="13.5" customHeight="1" x14ac:dyDescent="0.2">
      <c r="A42" s="258"/>
      <c r="B42" s="204"/>
    </row>
    <row r="43" spans="1:91" s="203" customFormat="1" ht="13.5" customHeight="1" x14ac:dyDescent="0.2">
      <c r="A43" s="258"/>
      <c r="B43" s="204"/>
    </row>
    <row r="44" spans="1:91" s="203" customFormat="1" ht="12.75" customHeight="1" x14ac:dyDescent="0.2">
      <c r="A44" s="258"/>
      <c r="B44" s="204"/>
    </row>
    <row r="45" spans="1:91" s="203" customFormat="1" ht="12.75" customHeight="1" x14ac:dyDescent="0.2">
      <c r="A45" s="258"/>
      <c r="B45" s="206"/>
    </row>
    <row r="46" spans="1:91" s="203" customFormat="1" x14ac:dyDescent="0.2">
      <c r="A46" s="258"/>
    </row>
    <row r="47" spans="1:91" s="203" customFormat="1" x14ac:dyDescent="0.2">
      <c r="A47" s="258"/>
    </row>
    <row r="48" spans="1:91" s="203" customFormat="1" x14ac:dyDescent="0.2">
      <c r="A48" s="258"/>
    </row>
    <row r="49" spans="1:11" s="203" customFormat="1" x14ac:dyDescent="0.2">
      <c r="A49" s="258"/>
    </row>
    <row r="50" spans="1:11" s="203" customFormat="1" x14ac:dyDescent="0.2">
      <c r="A50" s="258"/>
    </row>
    <row r="51" spans="1:11" s="203" customFormat="1" x14ac:dyDescent="0.2">
      <c r="A51" s="258"/>
    </row>
    <row r="52" spans="1:11" s="203" customFormat="1" x14ac:dyDescent="0.2">
      <c r="A52" s="210"/>
    </row>
    <row r="53" spans="1:11" s="203" customFormat="1" x14ac:dyDescent="0.2">
      <c r="A53" s="207"/>
    </row>
    <row r="54" spans="1:11" s="203" customFormat="1" x14ac:dyDescent="0.2">
      <c r="A54" s="207"/>
    </row>
    <row r="55" spans="1:11" s="203" customFormat="1" x14ac:dyDescent="0.2">
      <c r="A55" s="208"/>
    </row>
    <row r="56" spans="1:11" s="203" customFormat="1" x14ac:dyDescent="0.2">
      <c r="A56" s="208"/>
    </row>
    <row r="57" spans="1:11" s="203" customFormat="1" x14ac:dyDescent="0.2">
      <c r="A57" s="208"/>
      <c r="J57" s="209"/>
      <c r="K57" s="209"/>
    </row>
    <row r="58" spans="1:11" s="203" customFormat="1" x14ac:dyDescent="0.2">
      <c r="A58" s="208"/>
      <c r="J58" s="209"/>
      <c r="K58" s="209"/>
    </row>
    <row r="59" spans="1:11" s="203" customFormat="1" x14ac:dyDescent="0.2">
      <c r="A59" s="208"/>
      <c r="J59" s="209"/>
      <c r="K59" s="209"/>
    </row>
    <row r="60" spans="1:11" s="203" customFormat="1" x14ac:dyDescent="0.2">
      <c r="A60" s="208"/>
      <c r="J60" s="209"/>
      <c r="K60" s="209"/>
    </row>
    <row r="61" spans="1:11" s="203" customFormat="1" x14ac:dyDescent="0.2">
      <c r="A61" s="208"/>
      <c r="J61" s="209"/>
      <c r="K61" s="209"/>
    </row>
    <row r="62" spans="1:11" s="203" customFormat="1" x14ac:dyDescent="0.2">
      <c r="A62" s="208"/>
      <c r="J62" s="209"/>
      <c r="K62" s="209"/>
    </row>
    <row r="63" spans="1:11" s="203" customFormat="1" x14ac:dyDescent="0.2">
      <c r="A63" s="208"/>
      <c r="J63" s="209"/>
      <c r="K63" s="209"/>
    </row>
    <row r="64" spans="1:11" s="203" customFormat="1" x14ac:dyDescent="0.2">
      <c r="A64" s="208"/>
      <c r="J64" s="209"/>
      <c r="K64" s="209"/>
    </row>
    <row r="65" spans="1:11" s="203" customFormat="1" x14ac:dyDescent="0.2">
      <c r="A65" s="208"/>
      <c r="J65" s="209"/>
      <c r="K65" s="209"/>
    </row>
    <row r="66" spans="1:11" s="203" customFormat="1" x14ac:dyDescent="0.2">
      <c r="A66" s="208"/>
      <c r="J66" s="209"/>
      <c r="K66" s="209"/>
    </row>
    <row r="67" spans="1:11" s="203" customFormat="1" x14ac:dyDescent="0.2">
      <c r="A67" s="208"/>
      <c r="J67" s="209"/>
      <c r="K67" s="209"/>
    </row>
    <row r="68" spans="1:11" s="203" customFormat="1" x14ac:dyDescent="0.2">
      <c r="A68" s="208"/>
      <c r="J68" s="209"/>
      <c r="K68" s="209"/>
    </row>
    <row r="69" spans="1:11" s="203" customFormat="1" x14ac:dyDescent="0.2">
      <c r="A69" s="208"/>
      <c r="J69" s="209"/>
      <c r="K69" s="209"/>
    </row>
    <row r="70" spans="1:11" s="203" customFormat="1" x14ac:dyDescent="0.2">
      <c r="A70" s="208"/>
      <c r="J70" s="209"/>
      <c r="K70" s="209"/>
    </row>
    <row r="71" spans="1:11" s="203" customFormat="1" x14ac:dyDescent="0.2">
      <c r="A71" s="208"/>
      <c r="J71" s="209"/>
      <c r="K71" s="209"/>
    </row>
    <row r="72" spans="1:11" s="203" customFormat="1" x14ac:dyDescent="0.2">
      <c r="A72" s="208"/>
      <c r="J72" s="209"/>
      <c r="K72" s="209"/>
    </row>
    <row r="73" spans="1:11" s="203" customFormat="1" x14ac:dyDescent="0.2">
      <c r="A73" s="208"/>
      <c r="J73" s="209"/>
      <c r="K73" s="209"/>
    </row>
    <row r="74" spans="1:11" s="203" customFormat="1" x14ac:dyDescent="0.2">
      <c r="A74" s="208"/>
      <c r="J74" s="209"/>
      <c r="K74" s="209"/>
    </row>
    <row r="75" spans="1:11" s="203" customFormat="1" x14ac:dyDescent="0.2">
      <c r="A75" s="208"/>
      <c r="J75" s="209"/>
      <c r="K75" s="209"/>
    </row>
    <row r="76" spans="1:11" s="203" customFormat="1" x14ac:dyDescent="0.2">
      <c r="A76" s="208"/>
      <c r="J76" s="209"/>
      <c r="K76" s="209"/>
    </row>
    <row r="77" spans="1:11" s="203" customFormat="1" x14ac:dyDescent="0.2">
      <c r="A77" s="208"/>
      <c r="J77" s="209"/>
      <c r="K77" s="209"/>
    </row>
    <row r="78" spans="1:11" s="203" customFormat="1" x14ac:dyDescent="0.2">
      <c r="A78" s="208"/>
      <c r="J78" s="209"/>
      <c r="K78" s="209"/>
    </row>
    <row r="79" spans="1:11" s="203" customFormat="1" x14ac:dyDescent="0.2">
      <c r="A79" s="208"/>
      <c r="J79" s="209"/>
      <c r="K79" s="209"/>
    </row>
    <row r="80" spans="1:11" s="203" customFormat="1" x14ac:dyDescent="0.2">
      <c r="A80" s="208"/>
      <c r="J80" s="209"/>
      <c r="K80" s="209"/>
    </row>
    <row r="81" spans="1:11" s="203" customFormat="1" x14ac:dyDescent="0.2">
      <c r="A81" s="208"/>
      <c r="J81" s="209"/>
      <c r="K81" s="209"/>
    </row>
    <row r="82" spans="1:11" s="203" customFormat="1" x14ac:dyDescent="0.2">
      <c r="A82" s="208"/>
      <c r="J82" s="209"/>
      <c r="K82" s="209"/>
    </row>
    <row r="83" spans="1:11" s="203" customFormat="1" x14ac:dyDescent="0.2">
      <c r="A83" s="208"/>
      <c r="J83" s="209"/>
      <c r="K83" s="209"/>
    </row>
    <row r="84" spans="1:11" s="203" customFormat="1" x14ac:dyDescent="0.2">
      <c r="A84" s="208"/>
      <c r="J84" s="209"/>
      <c r="K84" s="209"/>
    </row>
    <row r="85" spans="1:11" s="203" customFormat="1" x14ac:dyDescent="0.2">
      <c r="A85" s="208"/>
      <c r="J85" s="209"/>
      <c r="K85" s="209"/>
    </row>
    <row r="86" spans="1:11" s="203" customFormat="1" x14ac:dyDescent="0.2">
      <c r="A86" s="208"/>
      <c r="J86" s="209"/>
      <c r="K86" s="209"/>
    </row>
    <row r="87" spans="1:11" s="203" customFormat="1" x14ac:dyDescent="0.2">
      <c r="A87" s="208"/>
      <c r="J87" s="209"/>
      <c r="K87" s="209"/>
    </row>
    <row r="88" spans="1:11" s="203" customFormat="1" x14ac:dyDescent="0.2">
      <c r="A88" s="208"/>
      <c r="J88" s="209"/>
      <c r="K88" s="209"/>
    </row>
    <row r="89" spans="1:11" s="203" customFormat="1" x14ac:dyDescent="0.2">
      <c r="A89" s="208"/>
      <c r="J89" s="209"/>
      <c r="K89" s="209"/>
    </row>
    <row r="90" spans="1:11" s="203" customFormat="1" x14ac:dyDescent="0.2">
      <c r="A90" s="208"/>
      <c r="J90" s="209"/>
      <c r="K90" s="209"/>
    </row>
    <row r="91" spans="1:11" s="203" customFormat="1" x14ac:dyDescent="0.2">
      <c r="A91" s="208"/>
      <c r="J91" s="209"/>
      <c r="K91" s="209"/>
    </row>
    <row r="92" spans="1:11" s="203" customFormat="1" x14ac:dyDescent="0.2">
      <c r="A92" s="208"/>
      <c r="J92" s="209"/>
      <c r="K92" s="209"/>
    </row>
    <row r="93" spans="1:11" s="203" customFormat="1" x14ac:dyDescent="0.2">
      <c r="A93" s="208"/>
      <c r="J93" s="209"/>
      <c r="K93" s="209"/>
    </row>
    <row r="94" spans="1:11" s="203" customFormat="1" x14ac:dyDescent="0.2">
      <c r="A94" s="208"/>
      <c r="J94" s="209"/>
      <c r="K94" s="209"/>
    </row>
    <row r="95" spans="1:11" s="203" customFormat="1" x14ac:dyDescent="0.2">
      <c r="A95" s="208"/>
      <c r="J95" s="209"/>
      <c r="K95" s="209"/>
    </row>
    <row r="96" spans="1:11" s="203" customFormat="1" x14ac:dyDescent="0.2">
      <c r="A96" s="208"/>
      <c r="J96" s="209"/>
      <c r="K96" s="209"/>
    </row>
    <row r="97" spans="1:11" s="203" customFormat="1" x14ac:dyDescent="0.2">
      <c r="A97" s="208"/>
      <c r="J97" s="209"/>
      <c r="K97" s="209"/>
    </row>
    <row r="98" spans="1:11" s="203" customFormat="1" x14ac:dyDescent="0.2">
      <c r="A98" s="208"/>
      <c r="J98" s="209"/>
      <c r="K98" s="209"/>
    </row>
    <row r="99" spans="1:11" s="203" customFormat="1" x14ac:dyDescent="0.2">
      <c r="A99" s="208"/>
      <c r="J99" s="209"/>
      <c r="K99" s="209"/>
    </row>
    <row r="100" spans="1:11" s="203" customFormat="1" x14ac:dyDescent="0.2">
      <c r="A100" s="208"/>
      <c r="J100" s="209"/>
      <c r="K100" s="209"/>
    </row>
    <row r="101" spans="1:11" s="203" customFormat="1" x14ac:dyDescent="0.2">
      <c r="A101" s="208"/>
      <c r="J101" s="209"/>
      <c r="K101" s="209"/>
    </row>
    <row r="102" spans="1:11" s="203" customFormat="1" x14ac:dyDescent="0.2">
      <c r="A102" s="208"/>
      <c r="J102" s="209"/>
      <c r="K102" s="209"/>
    </row>
    <row r="103" spans="1:11" s="203" customFormat="1" x14ac:dyDescent="0.2">
      <c r="A103" s="208"/>
      <c r="J103" s="209"/>
      <c r="K103" s="209"/>
    </row>
    <row r="104" spans="1:11" s="203" customFormat="1" x14ac:dyDescent="0.2">
      <c r="A104" s="208"/>
      <c r="J104" s="209"/>
      <c r="K104" s="209"/>
    </row>
    <row r="105" spans="1:11" s="203" customFormat="1" x14ac:dyDescent="0.2">
      <c r="A105" s="208"/>
      <c r="J105" s="209"/>
      <c r="K105" s="209"/>
    </row>
    <row r="106" spans="1:11" s="203" customFormat="1" x14ac:dyDescent="0.2">
      <c r="A106" s="208"/>
      <c r="J106" s="209"/>
      <c r="K106" s="209"/>
    </row>
    <row r="107" spans="1:11" s="203" customFormat="1" x14ac:dyDescent="0.2">
      <c r="A107" s="208"/>
      <c r="J107" s="209"/>
      <c r="K107" s="209"/>
    </row>
    <row r="108" spans="1:11" s="203" customFormat="1" x14ac:dyDescent="0.2">
      <c r="A108" s="208"/>
      <c r="J108" s="209"/>
      <c r="K108" s="209"/>
    </row>
    <row r="109" spans="1:11" s="203" customFormat="1" x14ac:dyDescent="0.2">
      <c r="A109" s="208"/>
      <c r="J109" s="209"/>
      <c r="K109" s="209"/>
    </row>
    <row r="110" spans="1:11" s="203" customFormat="1" x14ac:dyDescent="0.2">
      <c r="A110" s="208"/>
      <c r="J110" s="209"/>
      <c r="K110" s="209"/>
    </row>
    <row r="111" spans="1:11" s="203" customFormat="1" x14ac:dyDescent="0.2">
      <c r="A111" s="208"/>
      <c r="J111" s="209"/>
      <c r="K111" s="209"/>
    </row>
    <row r="112" spans="1:11" s="203" customFormat="1" x14ac:dyDescent="0.2">
      <c r="A112" s="208"/>
      <c r="J112" s="209"/>
      <c r="K112" s="209"/>
    </row>
    <row r="113" spans="1:81" s="203" customFormat="1" x14ac:dyDescent="0.2">
      <c r="A113" s="208"/>
      <c r="J113" s="209"/>
      <c r="K113" s="209"/>
    </row>
    <row r="114" spans="1:81" s="203" customFormat="1" x14ac:dyDescent="0.2">
      <c r="A114" s="208"/>
      <c r="J114" s="209"/>
      <c r="K114" s="209"/>
    </row>
    <row r="115" spans="1:81" s="203" customFormat="1" x14ac:dyDescent="0.2">
      <c r="A115" s="208"/>
      <c r="J115" s="209"/>
      <c r="K115" s="209"/>
    </row>
    <row r="116" spans="1:81" s="203" customFormat="1" x14ac:dyDescent="0.2">
      <c r="A116" s="208"/>
      <c r="J116" s="209"/>
      <c r="K116" s="209"/>
    </row>
    <row r="117" spans="1:81" x14ac:dyDescent="0.2">
      <c r="A117" s="34"/>
      <c r="B117" s="22"/>
      <c r="C117" s="22"/>
      <c r="D117" s="22"/>
      <c r="E117" s="22"/>
      <c r="F117" s="22"/>
      <c r="G117" s="22"/>
      <c r="H117" s="22"/>
      <c r="I117" s="22"/>
      <c r="J117" s="177"/>
      <c r="K117" s="177"/>
      <c r="L117" s="22"/>
      <c r="M117" s="22"/>
      <c r="N117" s="22"/>
      <c r="O117" s="22"/>
      <c r="P117" s="22"/>
      <c r="Q117" s="22"/>
      <c r="R117" s="22"/>
      <c r="S117" s="22"/>
      <c r="Z117" s="22"/>
      <c r="AA117" s="22"/>
      <c r="AB117" s="22"/>
      <c r="AC117" s="22"/>
      <c r="AD117" s="22"/>
      <c r="AE117" s="22"/>
      <c r="AF117" s="22"/>
      <c r="AG117" s="22"/>
      <c r="AH117" s="22"/>
      <c r="AI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row>
    <row r="118" spans="1:81" x14ac:dyDescent="0.2">
      <c r="A118" s="34"/>
      <c r="B118" s="22"/>
      <c r="C118" s="22"/>
      <c r="D118" s="22"/>
      <c r="E118" s="22"/>
      <c r="F118" s="22"/>
      <c r="G118" s="22"/>
      <c r="H118" s="22"/>
      <c r="I118" s="22"/>
      <c r="J118" s="177"/>
      <c r="K118" s="177"/>
      <c r="L118" s="22"/>
      <c r="M118" s="22"/>
      <c r="N118" s="22"/>
      <c r="O118" s="22"/>
      <c r="P118" s="22"/>
      <c r="Q118" s="22"/>
      <c r="R118" s="22"/>
      <c r="S118" s="22"/>
      <c r="Z118" s="22"/>
      <c r="AA118" s="22"/>
      <c r="AB118" s="22"/>
      <c r="AC118" s="22"/>
      <c r="AD118" s="22"/>
      <c r="AE118" s="22"/>
      <c r="AF118" s="22"/>
      <c r="AG118" s="22"/>
      <c r="AH118" s="22"/>
      <c r="AI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22"/>
      <c r="BP118" s="22"/>
      <c r="BQ118" s="22"/>
      <c r="BR118" s="22"/>
      <c r="BS118" s="22"/>
      <c r="BT118" s="22"/>
      <c r="BU118" s="22"/>
      <c r="BV118" s="22"/>
      <c r="BW118" s="22"/>
      <c r="BX118" s="22"/>
      <c r="BY118" s="22"/>
      <c r="BZ118" s="22"/>
      <c r="CA118" s="22"/>
      <c r="CB118" s="22"/>
      <c r="CC118" s="22"/>
    </row>
    <row r="119" spans="1:81" x14ac:dyDescent="0.2">
      <c r="A119" s="34"/>
      <c r="B119" s="22"/>
      <c r="C119" s="22"/>
      <c r="D119" s="22"/>
      <c r="E119" s="22"/>
      <c r="F119" s="22"/>
      <c r="G119" s="22"/>
      <c r="H119" s="22"/>
      <c r="I119" s="22"/>
      <c r="J119" s="177"/>
      <c r="K119" s="177"/>
      <c r="L119" s="22"/>
      <c r="M119" s="22"/>
      <c r="N119" s="22"/>
      <c r="O119" s="22"/>
      <c r="P119" s="22"/>
      <c r="Q119" s="22"/>
      <c r="R119" s="22"/>
      <c r="S119" s="22"/>
      <c r="Z119" s="22"/>
      <c r="AA119" s="22"/>
      <c r="AB119" s="22"/>
      <c r="AC119" s="22"/>
      <c r="AD119" s="22"/>
      <c r="AE119" s="22"/>
      <c r="AF119" s="22"/>
      <c r="AG119" s="22"/>
      <c r="AH119" s="22"/>
      <c r="AI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row>
    <row r="120" spans="1:81" x14ac:dyDescent="0.2">
      <c r="A120" s="34"/>
      <c r="B120" s="22"/>
      <c r="C120" s="22"/>
      <c r="D120" s="22"/>
      <c r="E120" s="22"/>
      <c r="F120" s="22"/>
      <c r="G120" s="22"/>
      <c r="H120" s="22"/>
      <c r="I120" s="22"/>
      <c r="J120" s="177"/>
      <c r="K120" s="177"/>
      <c r="L120" s="22"/>
      <c r="M120" s="22"/>
      <c r="N120" s="22"/>
      <c r="O120" s="22"/>
      <c r="P120" s="22"/>
      <c r="Q120" s="22"/>
      <c r="R120" s="22"/>
      <c r="S120" s="22"/>
      <c r="Z120" s="22"/>
      <c r="AA120" s="22"/>
      <c r="AB120" s="22"/>
      <c r="AC120" s="22"/>
      <c r="AD120" s="22"/>
      <c r="AE120" s="22"/>
      <c r="AF120" s="22"/>
      <c r="AG120" s="22"/>
      <c r="AH120" s="22"/>
      <c r="AI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22"/>
      <c r="BR120" s="22"/>
      <c r="BS120" s="22"/>
      <c r="BT120" s="22"/>
      <c r="BU120" s="22"/>
      <c r="BV120" s="22"/>
      <c r="BW120" s="22"/>
      <c r="BX120" s="22"/>
      <c r="BY120" s="22"/>
      <c r="BZ120" s="22"/>
      <c r="CA120" s="22"/>
      <c r="CB120" s="22"/>
      <c r="CC120" s="22"/>
    </row>
    <row r="121" spans="1:81" x14ac:dyDescent="0.2">
      <c r="A121" s="34"/>
      <c r="B121" s="22"/>
      <c r="C121" s="22"/>
      <c r="D121" s="22"/>
      <c r="E121" s="22"/>
      <c r="F121" s="22"/>
      <c r="G121" s="22"/>
      <c r="H121" s="22"/>
      <c r="I121" s="22"/>
      <c r="J121" s="177"/>
      <c r="K121" s="177"/>
      <c r="L121" s="22"/>
      <c r="M121" s="22"/>
      <c r="N121" s="22"/>
      <c r="O121" s="22"/>
      <c r="P121" s="22"/>
      <c r="Q121" s="22"/>
      <c r="R121" s="22"/>
      <c r="S121" s="22"/>
      <c r="Z121" s="22"/>
      <c r="AA121" s="22"/>
      <c r="AB121" s="22"/>
      <c r="AC121" s="22"/>
      <c r="AD121" s="22"/>
      <c r="AE121" s="22"/>
      <c r="AF121" s="22"/>
      <c r="AG121" s="22"/>
      <c r="AH121" s="22"/>
      <c r="AI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2"/>
      <c r="BR121" s="22"/>
      <c r="BS121" s="22"/>
      <c r="BT121" s="22"/>
      <c r="BU121" s="22"/>
      <c r="BV121" s="22"/>
      <c r="BW121" s="22"/>
      <c r="BX121" s="22"/>
      <c r="BY121" s="22"/>
      <c r="BZ121" s="22"/>
      <c r="CA121" s="22"/>
      <c r="CB121" s="22"/>
      <c r="CC121" s="22"/>
    </row>
    <row r="122" spans="1:81" x14ac:dyDescent="0.2">
      <c r="A122" s="34"/>
      <c r="B122" s="22"/>
      <c r="C122" s="22"/>
      <c r="D122" s="22"/>
      <c r="E122" s="22"/>
      <c r="F122" s="22"/>
      <c r="G122" s="22"/>
      <c r="H122" s="22"/>
      <c r="I122" s="22"/>
      <c r="J122" s="177"/>
      <c r="K122" s="177"/>
      <c r="L122" s="22"/>
      <c r="M122" s="22"/>
      <c r="N122" s="22"/>
      <c r="O122" s="22"/>
      <c r="P122" s="22"/>
      <c r="Q122" s="22"/>
      <c r="R122" s="22"/>
      <c r="S122" s="22"/>
      <c r="Z122" s="22"/>
      <c r="AA122" s="22"/>
      <c r="AB122" s="22"/>
      <c r="AC122" s="22"/>
      <c r="AD122" s="22"/>
      <c r="AE122" s="22"/>
      <c r="AF122" s="22"/>
      <c r="AG122" s="22"/>
      <c r="AH122" s="22"/>
      <c r="AI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row>
    <row r="123" spans="1:81" x14ac:dyDescent="0.2">
      <c r="A123" s="34"/>
      <c r="B123" s="22"/>
      <c r="C123" s="22"/>
      <c r="D123" s="22"/>
      <c r="E123" s="22"/>
      <c r="F123" s="22"/>
      <c r="G123" s="22"/>
      <c r="H123" s="22"/>
      <c r="I123" s="22"/>
      <c r="J123" s="177"/>
      <c r="K123" s="177"/>
      <c r="L123" s="22"/>
      <c r="M123" s="22"/>
      <c r="N123" s="22"/>
      <c r="O123" s="22"/>
      <c r="P123" s="22"/>
      <c r="Q123" s="22"/>
      <c r="R123" s="22"/>
      <c r="S123" s="22"/>
      <c r="Z123" s="22"/>
      <c r="AA123" s="22"/>
      <c r="AB123" s="22"/>
      <c r="AC123" s="22"/>
      <c r="AD123" s="22"/>
      <c r="AE123" s="22"/>
      <c r="AF123" s="22"/>
      <c r="AG123" s="22"/>
      <c r="AH123" s="22"/>
      <c r="AI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2"/>
      <c r="BT123" s="22"/>
      <c r="BU123" s="22"/>
      <c r="BV123" s="22"/>
      <c r="BW123" s="22"/>
      <c r="BX123" s="22"/>
      <c r="BY123" s="22"/>
      <c r="BZ123" s="22"/>
      <c r="CA123" s="22"/>
      <c r="CB123" s="22"/>
      <c r="CC123" s="22"/>
    </row>
    <row r="124" spans="1:81" x14ac:dyDescent="0.2">
      <c r="A124" s="34"/>
      <c r="B124" s="22"/>
      <c r="C124" s="22"/>
      <c r="D124" s="22"/>
      <c r="E124" s="22"/>
      <c r="F124" s="22"/>
      <c r="G124" s="22"/>
      <c r="H124" s="22"/>
      <c r="I124" s="22"/>
      <c r="J124" s="177"/>
      <c r="K124" s="177"/>
      <c r="L124" s="22"/>
      <c r="M124" s="22"/>
      <c r="N124" s="22"/>
      <c r="O124" s="22"/>
      <c r="P124" s="22"/>
      <c r="Q124" s="22"/>
      <c r="R124" s="22"/>
      <c r="S124" s="22"/>
      <c r="Z124" s="22"/>
      <c r="AA124" s="22"/>
      <c r="AB124" s="22"/>
      <c r="AC124" s="22"/>
      <c r="AD124" s="22"/>
      <c r="AE124" s="22"/>
      <c r="AF124" s="22"/>
      <c r="AG124" s="22"/>
      <c r="AH124" s="22"/>
      <c r="AI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c r="BX124" s="22"/>
      <c r="BY124" s="22"/>
      <c r="BZ124" s="22"/>
      <c r="CA124" s="22"/>
      <c r="CB124" s="22"/>
      <c r="CC124" s="22"/>
    </row>
    <row r="125" spans="1:81" x14ac:dyDescent="0.2">
      <c r="A125" s="34"/>
      <c r="B125" s="22"/>
      <c r="C125" s="22"/>
      <c r="D125" s="22"/>
      <c r="E125" s="22"/>
      <c r="F125" s="22"/>
      <c r="G125" s="22"/>
      <c r="H125" s="22"/>
      <c r="I125" s="22"/>
      <c r="J125" s="177"/>
      <c r="K125" s="177"/>
      <c r="L125" s="22"/>
      <c r="M125" s="22"/>
      <c r="N125" s="22"/>
      <c r="O125" s="22"/>
      <c r="P125" s="22"/>
      <c r="Q125" s="22"/>
      <c r="R125" s="22"/>
      <c r="S125" s="22"/>
      <c r="Z125" s="22"/>
      <c r="AA125" s="22"/>
      <c r="AB125" s="22"/>
      <c r="AC125" s="22"/>
      <c r="AD125" s="22"/>
      <c r="AE125" s="22"/>
      <c r="AF125" s="22"/>
      <c r="AG125" s="22"/>
      <c r="AH125" s="22"/>
      <c r="AI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22"/>
      <c r="BR125" s="22"/>
      <c r="BS125" s="22"/>
      <c r="BT125" s="22"/>
      <c r="BU125" s="22"/>
      <c r="BV125" s="22"/>
      <c r="BW125" s="22"/>
      <c r="BX125" s="22"/>
      <c r="BY125" s="22"/>
      <c r="BZ125" s="22"/>
      <c r="CA125" s="22"/>
      <c r="CB125" s="22"/>
      <c r="CC125" s="22"/>
    </row>
    <row r="126" spans="1:81" x14ac:dyDescent="0.2">
      <c r="A126" s="34"/>
      <c r="B126" s="22"/>
      <c r="C126" s="22"/>
      <c r="D126" s="22"/>
      <c r="E126" s="22"/>
      <c r="F126" s="22"/>
      <c r="G126" s="22"/>
      <c r="H126" s="22"/>
      <c r="I126" s="22"/>
      <c r="J126" s="177"/>
      <c r="K126" s="177"/>
      <c r="L126" s="22"/>
      <c r="M126" s="22"/>
      <c r="N126" s="22"/>
      <c r="O126" s="22"/>
      <c r="P126" s="22"/>
      <c r="Q126" s="22"/>
      <c r="R126" s="22"/>
      <c r="S126" s="22"/>
      <c r="Z126" s="22"/>
      <c r="AA126" s="22"/>
      <c r="AB126" s="22"/>
      <c r="AC126" s="22"/>
      <c r="AD126" s="22"/>
      <c r="AE126" s="22"/>
      <c r="AF126" s="22"/>
      <c r="AG126" s="22"/>
      <c r="AH126" s="22"/>
      <c r="AI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22"/>
      <c r="BR126" s="22"/>
      <c r="BS126" s="22"/>
      <c r="BT126" s="22"/>
      <c r="BU126" s="22"/>
      <c r="BV126" s="22"/>
      <c r="BW126" s="22"/>
      <c r="BX126" s="22"/>
      <c r="BY126" s="22"/>
      <c r="BZ126" s="22"/>
      <c r="CA126" s="22"/>
      <c r="CB126" s="22"/>
      <c r="CC126" s="22"/>
    </row>
    <row r="127" spans="1:81" x14ac:dyDescent="0.2">
      <c r="A127" s="34"/>
      <c r="B127" s="22"/>
      <c r="C127" s="22"/>
      <c r="D127" s="22"/>
      <c r="E127" s="22"/>
      <c r="F127" s="22"/>
      <c r="G127" s="22"/>
      <c r="H127" s="22"/>
      <c r="I127" s="22"/>
      <c r="J127" s="177"/>
      <c r="K127" s="177"/>
      <c r="L127" s="22"/>
      <c r="M127" s="22"/>
      <c r="N127" s="22"/>
      <c r="O127" s="22"/>
      <c r="P127" s="22"/>
      <c r="Q127" s="22"/>
      <c r="R127" s="22"/>
      <c r="S127" s="22"/>
      <c r="Z127" s="22"/>
      <c r="AA127" s="22"/>
      <c r="AB127" s="22"/>
      <c r="AC127" s="22"/>
      <c r="AD127" s="22"/>
      <c r="AE127" s="22"/>
      <c r="AF127" s="22"/>
      <c r="AG127" s="22"/>
      <c r="AH127" s="22"/>
      <c r="AI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row>
    <row r="128" spans="1:81" x14ac:dyDescent="0.2">
      <c r="A128" s="34"/>
      <c r="B128" s="22"/>
      <c r="C128" s="22"/>
      <c r="D128" s="22"/>
      <c r="E128" s="22"/>
      <c r="F128" s="22"/>
      <c r="G128" s="22"/>
      <c r="H128" s="22"/>
      <c r="I128" s="22"/>
      <c r="J128" s="177"/>
      <c r="K128" s="177"/>
      <c r="L128" s="22"/>
      <c r="M128" s="22"/>
      <c r="N128" s="22"/>
      <c r="O128" s="22"/>
      <c r="P128" s="22"/>
      <c r="Q128" s="22"/>
      <c r="R128" s="22"/>
      <c r="S128" s="22"/>
      <c r="Z128" s="22"/>
      <c r="AA128" s="22"/>
      <c r="AB128" s="22"/>
      <c r="AC128" s="22"/>
      <c r="AD128" s="22"/>
      <c r="AE128" s="22"/>
      <c r="AF128" s="22"/>
      <c r="AG128" s="22"/>
      <c r="AH128" s="22"/>
      <c r="AI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c r="BM128" s="22"/>
      <c r="BN128" s="22"/>
      <c r="BO128" s="22"/>
      <c r="BP128" s="22"/>
      <c r="BQ128" s="22"/>
      <c r="BR128" s="22"/>
      <c r="BS128" s="22"/>
      <c r="BT128" s="22"/>
      <c r="BU128" s="22"/>
      <c r="BV128" s="22"/>
      <c r="BW128" s="22"/>
      <c r="BX128" s="22"/>
      <c r="BY128" s="22"/>
      <c r="BZ128" s="22"/>
      <c r="CA128" s="22"/>
      <c r="CB128" s="22"/>
      <c r="CC128" s="22"/>
    </row>
    <row r="129" spans="1:81" x14ac:dyDescent="0.2">
      <c r="A129" s="34"/>
      <c r="B129" s="22"/>
      <c r="C129" s="22"/>
      <c r="D129" s="22"/>
      <c r="E129" s="22"/>
      <c r="F129" s="22"/>
      <c r="G129" s="22"/>
      <c r="H129" s="22"/>
      <c r="I129" s="22"/>
      <c r="J129" s="177"/>
      <c r="K129" s="177"/>
      <c r="L129" s="22"/>
      <c r="M129" s="22"/>
      <c r="N129" s="22"/>
      <c r="O129" s="22"/>
      <c r="P129" s="22"/>
      <c r="Q129" s="22"/>
      <c r="R129" s="22"/>
      <c r="S129" s="22"/>
      <c r="Z129" s="22"/>
      <c r="AA129" s="22"/>
      <c r="AB129" s="22"/>
      <c r="AC129" s="22"/>
      <c r="AD129" s="22"/>
      <c r="AE129" s="22"/>
      <c r="AF129" s="22"/>
      <c r="AG129" s="22"/>
      <c r="AH129" s="22"/>
      <c r="AI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c r="BM129" s="22"/>
      <c r="BN129" s="22"/>
      <c r="BO129" s="22"/>
      <c r="BP129" s="22"/>
      <c r="BQ129" s="22"/>
      <c r="BR129" s="22"/>
      <c r="BS129" s="22"/>
      <c r="BT129" s="22"/>
      <c r="BU129" s="22"/>
      <c r="BV129" s="22"/>
      <c r="BW129" s="22"/>
      <c r="BX129" s="22"/>
      <c r="BY129" s="22"/>
      <c r="BZ129" s="22"/>
      <c r="CA129" s="22"/>
      <c r="CB129" s="22"/>
      <c r="CC129" s="22"/>
    </row>
    <row r="130" spans="1:81" x14ac:dyDescent="0.2">
      <c r="A130" s="34"/>
      <c r="B130" s="22"/>
      <c r="C130" s="22"/>
      <c r="D130" s="22"/>
      <c r="E130" s="22"/>
      <c r="F130" s="22"/>
      <c r="G130" s="22"/>
      <c r="H130" s="22"/>
      <c r="I130" s="22"/>
      <c r="J130" s="177"/>
      <c r="K130" s="177"/>
      <c r="L130" s="22"/>
      <c r="M130" s="22"/>
      <c r="N130" s="22"/>
      <c r="O130" s="22"/>
      <c r="P130" s="22"/>
      <c r="Q130" s="22"/>
      <c r="R130" s="22"/>
      <c r="S130" s="22"/>
      <c r="Z130" s="22"/>
      <c r="AA130" s="22"/>
      <c r="AB130" s="22"/>
      <c r="AC130" s="22"/>
      <c r="AD130" s="22"/>
      <c r="AE130" s="22"/>
      <c r="AF130" s="22"/>
      <c r="AG130" s="22"/>
      <c r="AH130" s="22"/>
      <c r="AI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2"/>
      <c r="BL130" s="22"/>
      <c r="BM130" s="22"/>
      <c r="BN130" s="22"/>
      <c r="BO130" s="22"/>
      <c r="BP130" s="22"/>
      <c r="BQ130" s="22"/>
      <c r="BR130" s="22"/>
      <c r="BS130" s="22"/>
      <c r="BT130" s="22"/>
      <c r="BU130" s="22"/>
      <c r="BV130" s="22"/>
      <c r="BW130" s="22"/>
      <c r="BX130" s="22"/>
      <c r="BY130" s="22"/>
      <c r="BZ130" s="22"/>
      <c r="CA130" s="22"/>
      <c r="CB130" s="22"/>
      <c r="CC130" s="22"/>
    </row>
    <row r="131" spans="1:81" x14ac:dyDescent="0.2">
      <c r="A131" s="34"/>
      <c r="B131" s="22"/>
      <c r="C131" s="22"/>
      <c r="D131" s="22"/>
      <c r="E131" s="22"/>
      <c r="F131" s="22"/>
      <c r="G131" s="22"/>
      <c r="H131" s="22"/>
      <c r="I131" s="22"/>
      <c r="J131" s="177"/>
      <c r="K131" s="177"/>
      <c r="L131" s="22"/>
      <c r="M131" s="22"/>
      <c r="N131" s="22"/>
      <c r="O131" s="22"/>
      <c r="P131" s="22"/>
      <c r="Q131" s="22"/>
      <c r="R131" s="22"/>
      <c r="S131" s="22"/>
      <c r="Z131" s="22"/>
      <c r="AA131" s="22"/>
      <c r="AB131" s="22"/>
      <c r="AC131" s="22"/>
      <c r="AD131" s="22"/>
      <c r="AE131" s="22"/>
      <c r="AF131" s="22"/>
      <c r="AG131" s="22"/>
      <c r="AH131" s="22"/>
      <c r="AI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2"/>
      <c r="BL131" s="22"/>
      <c r="BM131" s="22"/>
      <c r="BN131" s="22"/>
      <c r="BO131" s="22"/>
      <c r="BP131" s="22"/>
      <c r="BQ131" s="22"/>
      <c r="BR131" s="22"/>
      <c r="BS131" s="22"/>
      <c r="BT131" s="22"/>
      <c r="BU131" s="22"/>
      <c r="BV131" s="22"/>
      <c r="BW131" s="22"/>
      <c r="BX131" s="22"/>
      <c r="BY131" s="22"/>
      <c r="BZ131" s="22"/>
      <c r="CA131" s="22"/>
      <c r="CB131" s="22"/>
      <c r="CC131" s="22"/>
    </row>
    <row r="132" spans="1:81" x14ac:dyDescent="0.2">
      <c r="A132" s="34"/>
      <c r="B132" s="22"/>
      <c r="C132" s="22"/>
      <c r="D132" s="22"/>
      <c r="E132" s="22"/>
      <c r="F132" s="22"/>
      <c r="G132" s="22"/>
      <c r="H132" s="22"/>
      <c r="I132" s="22"/>
      <c r="J132" s="177"/>
      <c r="K132" s="177"/>
      <c r="L132" s="22"/>
      <c r="M132" s="22"/>
      <c r="N132" s="22"/>
      <c r="O132" s="22"/>
      <c r="P132" s="22"/>
      <c r="Q132" s="22"/>
      <c r="R132" s="22"/>
      <c r="S132" s="22"/>
      <c r="Z132" s="22"/>
      <c r="AA132" s="22"/>
      <c r="AB132" s="22"/>
      <c r="AC132" s="22"/>
      <c r="AD132" s="22"/>
      <c r="AE132" s="22"/>
      <c r="AF132" s="22"/>
      <c r="AG132" s="22"/>
      <c r="AH132" s="22"/>
      <c r="AI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22"/>
      <c r="BP132" s="22"/>
      <c r="BQ132" s="22"/>
      <c r="BR132" s="22"/>
      <c r="BS132" s="22"/>
      <c r="BT132" s="22"/>
      <c r="BU132" s="22"/>
      <c r="BV132" s="22"/>
      <c r="BW132" s="22"/>
      <c r="BX132" s="22"/>
      <c r="BY132" s="22"/>
      <c r="BZ132" s="22"/>
      <c r="CA132" s="22"/>
      <c r="CB132" s="22"/>
      <c r="CC132" s="22"/>
    </row>
    <row r="133" spans="1:81" x14ac:dyDescent="0.2">
      <c r="A133" s="34"/>
      <c r="B133" s="22"/>
      <c r="C133" s="22"/>
      <c r="D133" s="22"/>
      <c r="E133" s="22"/>
      <c r="F133" s="22"/>
      <c r="G133" s="22"/>
      <c r="H133" s="22"/>
      <c r="I133" s="22"/>
      <c r="J133" s="177"/>
      <c r="K133" s="177"/>
      <c r="L133" s="22"/>
      <c r="M133" s="22"/>
      <c r="N133" s="22"/>
      <c r="O133" s="22"/>
      <c r="P133" s="22"/>
      <c r="Q133" s="22"/>
      <c r="R133" s="22"/>
      <c r="S133" s="22"/>
      <c r="Z133" s="22"/>
      <c r="AA133" s="22"/>
      <c r="AB133" s="22"/>
      <c r="AC133" s="22"/>
      <c r="AD133" s="22"/>
      <c r="AE133" s="22"/>
      <c r="AF133" s="22"/>
      <c r="AG133" s="22"/>
      <c r="AH133" s="22"/>
      <c r="AI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22"/>
      <c r="BR133" s="22"/>
      <c r="BS133" s="22"/>
      <c r="BT133" s="22"/>
      <c r="BU133" s="22"/>
      <c r="BV133" s="22"/>
      <c r="BW133" s="22"/>
      <c r="BX133" s="22"/>
      <c r="BY133" s="22"/>
      <c r="BZ133" s="22"/>
      <c r="CA133" s="22"/>
      <c r="CB133" s="22"/>
      <c r="CC133" s="22"/>
    </row>
    <row r="134" spans="1:81" x14ac:dyDescent="0.2">
      <c r="A134" s="34"/>
      <c r="B134" s="22"/>
      <c r="C134" s="22"/>
      <c r="D134" s="22"/>
      <c r="E134" s="22"/>
      <c r="F134" s="22"/>
      <c r="G134" s="22"/>
      <c r="H134" s="22"/>
      <c r="I134" s="22"/>
      <c r="J134" s="177"/>
      <c r="K134" s="177"/>
      <c r="L134" s="22"/>
      <c r="M134" s="22"/>
      <c r="N134" s="22"/>
      <c r="O134" s="22"/>
      <c r="P134" s="22"/>
      <c r="Q134" s="22"/>
      <c r="R134" s="22"/>
      <c r="S134" s="22"/>
      <c r="Z134" s="22"/>
      <c r="AA134" s="22"/>
      <c r="AB134" s="22"/>
      <c r="AC134" s="22"/>
      <c r="AD134" s="22"/>
      <c r="AE134" s="22"/>
      <c r="AF134" s="22"/>
      <c r="AG134" s="22"/>
      <c r="AH134" s="22"/>
      <c r="AI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c r="BQ134" s="22"/>
      <c r="BR134" s="22"/>
      <c r="BS134" s="22"/>
      <c r="BT134" s="22"/>
      <c r="BU134" s="22"/>
      <c r="BV134" s="22"/>
      <c r="BW134" s="22"/>
      <c r="BX134" s="22"/>
      <c r="BY134" s="22"/>
      <c r="BZ134" s="22"/>
      <c r="CA134" s="22"/>
      <c r="CB134" s="22"/>
      <c r="CC134" s="22"/>
    </row>
    <row r="135" spans="1:81" x14ac:dyDescent="0.2">
      <c r="A135" s="36"/>
      <c r="B135" s="22"/>
      <c r="C135" s="22"/>
      <c r="D135" s="22"/>
      <c r="E135" s="22"/>
      <c r="F135" s="22"/>
      <c r="G135" s="22"/>
      <c r="H135" s="22"/>
      <c r="I135" s="22"/>
      <c r="J135" s="177"/>
      <c r="K135" s="177"/>
      <c r="L135" s="22"/>
      <c r="M135" s="22"/>
      <c r="N135" s="22"/>
      <c r="O135" s="22"/>
      <c r="P135" s="22"/>
      <c r="Q135" s="22"/>
      <c r="R135" s="22"/>
      <c r="S135" s="22"/>
      <c r="Z135" s="22"/>
      <c r="AA135" s="22"/>
      <c r="AB135" s="22"/>
      <c r="AC135" s="22"/>
      <c r="AD135" s="22"/>
      <c r="AE135" s="22"/>
      <c r="AF135" s="22"/>
      <c r="AG135" s="22"/>
      <c r="AH135" s="22"/>
      <c r="AI135" s="22"/>
      <c r="AL135" s="178"/>
      <c r="AM135" s="178"/>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22"/>
      <c r="BR135" s="22"/>
      <c r="BS135" s="22"/>
      <c r="BT135" s="22"/>
      <c r="BU135" s="22"/>
      <c r="BV135" s="22"/>
      <c r="BW135" s="22"/>
      <c r="BX135" s="22"/>
      <c r="BY135" s="22"/>
      <c r="BZ135" s="22"/>
      <c r="CA135" s="22"/>
      <c r="CB135" s="22"/>
      <c r="CC135" s="22"/>
    </row>
    <row r="136" spans="1:81" x14ac:dyDescent="0.2">
      <c r="A136" s="36"/>
      <c r="B136" s="22"/>
      <c r="C136" s="22"/>
      <c r="D136" s="22"/>
      <c r="E136" s="22"/>
      <c r="F136" s="22"/>
      <c r="G136" s="22"/>
      <c r="H136" s="22"/>
      <c r="I136" s="22"/>
      <c r="J136" s="177"/>
      <c r="K136" s="177"/>
      <c r="L136" s="22"/>
      <c r="M136" s="22"/>
      <c r="N136" s="22"/>
      <c r="O136" s="22"/>
      <c r="P136" s="22"/>
      <c r="Q136" s="22"/>
      <c r="R136" s="22"/>
      <c r="S136" s="22"/>
      <c r="Z136" s="22"/>
      <c r="AA136" s="22"/>
      <c r="AB136" s="22"/>
      <c r="AC136" s="22"/>
      <c r="AD136" s="22"/>
      <c r="AE136" s="22"/>
      <c r="AF136" s="22"/>
      <c r="AG136" s="22"/>
      <c r="AH136" s="22"/>
      <c r="AI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c r="BL136" s="22"/>
      <c r="BM136" s="22"/>
      <c r="BN136" s="22"/>
      <c r="BO136" s="22"/>
      <c r="BP136" s="22"/>
      <c r="BQ136" s="22"/>
      <c r="BR136" s="22"/>
      <c r="BS136" s="22"/>
      <c r="BT136" s="22"/>
      <c r="BU136" s="22"/>
      <c r="BV136" s="22"/>
      <c r="BW136" s="22"/>
      <c r="BX136" s="22"/>
      <c r="BY136" s="22"/>
      <c r="BZ136" s="22"/>
      <c r="CA136" s="22"/>
      <c r="CB136" s="22"/>
      <c r="CC136" s="22"/>
    </row>
    <row r="137" spans="1:81" x14ac:dyDescent="0.2">
      <c r="A137" s="36"/>
      <c r="B137" s="22"/>
      <c r="C137" s="22"/>
      <c r="D137" s="22"/>
      <c r="E137" s="22"/>
      <c r="F137" s="22"/>
      <c r="G137" s="22"/>
      <c r="H137" s="22"/>
      <c r="I137" s="22"/>
      <c r="J137" s="177"/>
      <c r="K137" s="177"/>
      <c r="L137" s="22"/>
      <c r="M137" s="22"/>
      <c r="N137" s="22"/>
      <c r="O137" s="22"/>
      <c r="P137" s="22"/>
      <c r="Q137" s="22"/>
      <c r="R137" s="22"/>
      <c r="S137" s="22"/>
      <c r="Z137" s="22"/>
      <c r="AA137" s="22"/>
      <c r="AB137" s="22"/>
      <c r="AC137" s="22"/>
      <c r="AD137" s="22"/>
      <c r="AE137" s="22"/>
      <c r="AF137" s="22"/>
      <c r="AG137" s="22"/>
      <c r="AH137" s="22"/>
      <c r="AI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c r="BU137" s="22"/>
      <c r="BV137" s="22"/>
      <c r="BW137" s="22"/>
      <c r="BX137" s="22"/>
      <c r="BY137" s="22"/>
      <c r="BZ137" s="22"/>
      <c r="CA137" s="22"/>
      <c r="CB137" s="22"/>
      <c r="CC137" s="22"/>
    </row>
    <row r="138" spans="1:81" x14ac:dyDescent="0.2">
      <c r="A138" s="36"/>
      <c r="B138" s="22"/>
      <c r="C138" s="22"/>
      <c r="D138" s="22"/>
      <c r="E138" s="22"/>
      <c r="F138" s="22"/>
      <c r="G138" s="22"/>
      <c r="H138" s="22"/>
      <c r="I138" s="22"/>
      <c r="J138" s="177"/>
      <c r="K138" s="177"/>
      <c r="L138" s="22"/>
      <c r="M138" s="22"/>
      <c r="N138" s="22"/>
      <c r="O138" s="22"/>
      <c r="P138" s="22"/>
      <c r="Q138" s="22"/>
      <c r="R138" s="22"/>
      <c r="S138" s="22"/>
      <c r="Z138" s="22"/>
      <c r="AA138" s="22"/>
      <c r="AB138" s="22"/>
      <c r="AC138" s="22"/>
      <c r="AD138" s="22"/>
      <c r="AE138" s="22"/>
      <c r="AF138" s="22"/>
      <c r="AG138" s="22"/>
      <c r="AH138" s="22"/>
      <c r="AI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22"/>
      <c r="BZ138" s="22"/>
      <c r="CA138" s="22"/>
      <c r="CB138" s="22"/>
      <c r="CC138" s="22"/>
    </row>
    <row r="139" spans="1:81" x14ac:dyDescent="0.2">
      <c r="A139" s="36"/>
      <c r="B139" s="22"/>
      <c r="C139" s="22"/>
      <c r="D139" s="22"/>
      <c r="E139" s="22"/>
      <c r="F139" s="22"/>
      <c r="G139" s="22"/>
      <c r="H139" s="22"/>
      <c r="I139" s="22"/>
      <c r="J139" s="177"/>
      <c r="K139" s="177"/>
      <c r="L139" s="22"/>
      <c r="M139" s="22"/>
      <c r="N139" s="22"/>
      <c r="O139" s="22"/>
      <c r="P139" s="22"/>
      <c r="Q139" s="22"/>
      <c r="R139" s="22"/>
      <c r="S139" s="22"/>
      <c r="Z139" s="22"/>
      <c r="AA139" s="22"/>
      <c r="AB139" s="22"/>
      <c r="AC139" s="22"/>
      <c r="AD139" s="22"/>
      <c r="AE139" s="22"/>
      <c r="AF139" s="22"/>
      <c r="AG139" s="22"/>
      <c r="AH139" s="22"/>
      <c r="AI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2"/>
      <c r="BL139" s="22"/>
      <c r="BM139" s="22"/>
      <c r="BN139" s="22"/>
      <c r="BO139" s="22"/>
      <c r="BP139" s="22"/>
      <c r="BQ139" s="22"/>
      <c r="BR139" s="22"/>
      <c r="BS139" s="22"/>
      <c r="BT139" s="22"/>
      <c r="BU139" s="22"/>
      <c r="BV139" s="22"/>
      <c r="BW139" s="22"/>
      <c r="BX139" s="22"/>
      <c r="BY139" s="22"/>
      <c r="BZ139" s="22"/>
      <c r="CA139" s="22"/>
      <c r="CB139" s="22"/>
      <c r="CC139" s="22"/>
    </row>
    <row r="140" spans="1:81" x14ac:dyDescent="0.2">
      <c r="A140" s="22"/>
      <c r="B140" s="22"/>
      <c r="C140" s="22"/>
      <c r="D140" s="22"/>
      <c r="E140" s="22"/>
      <c r="F140" s="22"/>
      <c r="G140" s="22"/>
      <c r="H140" s="22"/>
      <c r="I140" s="22"/>
      <c r="J140" s="177"/>
      <c r="K140" s="177"/>
      <c r="L140" s="22"/>
      <c r="M140" s="22"/>
      <c r="N140" s="22"/>
      <c r="O140" s="22"/>
      <c r="P140" s="22"/>
      <c r="Q140" s="22"/>
      <c r="R140" s="22"/>
      <c r="S140" s="22"/>
      <c r="Z140" s="22"/>
      <c r="AA140" s="22"/>
      <c r="AB140" s="22"/>
      <c r="AC140" s="22"/>
      <c r="AD140" s="22"/>
      <c r="AE140" s="22"/>
      <c r="AF140" s="22"/>
      <c r="AG140" s="22"/>
      <c r="AH140" s="22"/>
      <c r="AI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22"/>
      <c r="BL140" s="22"/>
      <c r="BM140" s="22"/>
      <c r="BN140" s="22"/>
      <c r="BO140" s="22"/>
      <c r="BP140" s="22"/>
      <c r="BQ140" s="22"/>
      <c r="BR140" s="22"/>
      <c r="BS140" s="22"/>
      <c r="BT140" s="22"/>
      <c r="BU140" s="22"/>
      <c r="BV140" s="22"/>
      <c r="BW140" s="22"/>
      <c r="BX140" s="22"/>
      <c r="BY140" s="22"/>
      <c r="BZ140" s="22"/>
      <c r="CA140" s="22"/>
      <c r="CB140" s="22"/>
      <c r="CC140" s="22"/>
    </row>
    <row r="141" spans="1:81" x14ac:dyDescent="0.2">
      <c r="A141" s="22"/>
      <c r="B141" s="22"/>
      <c r="C141" s="22"/>
      <c r="D141" s="22"/>
      <c r="E141" s="22"/>
      <c r="F141" s="22"/>
      <c r="G141" s="22"/>
      <c r="H141" s="22"/>
      <c r="I141" s="22"/>
      <c r="J141" s="177"/>
      <c r="K141" s="177"/>
      <c r="L141" s="22"/>
      <c r="M141" s="22"/>
      <c r="N141" s="22"/>
      <c r="O141" s="22"/>
      <c r="P141" s="22"/>
      <c r="Q141" s="22"/>
      <c r="R141" s="22"/>
      <c r="S141" s="22"/>
      <c r="Z141" s="22"/>
      <c r="AA141" s="22"/>
      <c r="AB141" s="22"/>
      <c r="AC141" s="22"/>
      <c r="AD141" s="22"/>
      <c r="AE141" s="22"/>
      <c r="AF141" s="22"/>
      <c r="AG141" s="22"/>
      <c r="AH141" s="22"/>
      <c r="AI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22"/>
      <c r="BL141" s="22"/>
      <c r="BM141" s="22"/>
      <c r="BN141" s="22"/>
      <c r="BO141" s="22"/>
      <c r="BP141" s="22"/>
      <c r="BQ141" s="22"/>
      <c r="BR141" s="22"/>
      <c r="BS141" s="22"/>
      <c r="BT141" s="22"/>
      <c r="BU141" s="22"/>
      <c r="BV141" s="22"/>
      <c r="BW141" s="22"/>
      <c r="BX141" s="22"/>
      <c r="BY141" s="22"/>
      <c r="BZ141" s="22"/>
      <c r="CA141" s="22"/>
      <c r="CB141" s="22"/>
      <c r="CC141" s="22"/>
    </row>
    <row r="142" spans="1:81" x14ac:dyDescent="0.2">
      <c r="A142" s="22"/>
      <c r="B142" s="22"/>
      <c r="C142" s="22"/>
      <c r="D142" s="22"/>
      <c r="E142" s="22"/>
      <c r="F142" s="22"/>
      <c r="G142" s="22"/>
      <c r="H142" s="22"/>
      <c r="I142" s="22"/>
      <c r="J142" s="177"/>
      <c r="K142" s="177"/>
      <c r="L142" s="22"/>
      <c r="M142" s="22"/>
      <c r="N142" s="22"/>
      <c r="O142" s="22"/>
      <c r="P142" s="22"/>
      <c r="Q142" s="22"/>
      <c r="R142" s="22"/>
      <c r="S142" s="22"/>
      <c r="Z142" s="22"/>
      <c r="AA142" s="22"/>
      <c r="AB142" s="22"/>
      <c r="AC142" s="22"/>
      <c r="AD142" s="22"/>
      <c r="AE142" s="22"/>
      <c r="AF142" s="22"/>
      <c r="AG142" s="22"/>
      <c r="AH142" s="22"/>
      <c r="AI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22"/>
      <c r="BL142" s="22"/>
      <c r="BM142" s="22"/>
      <c r="BN142" s="22"/>
      <c r="BO142" s="22"/>
      <c r="BP142" s="22"/>
      <c r="BQ142" s="22"/>
      <c r="BR142" s="22"/>
      <c r="BS142" s="22"/>
      <c r="BT142" s="22"/>
      <c r="BU142" s="22"/>
      <c r="BV142" s="22"/>
      <c r="BW142" s="22"/>
      <c r="BX142" s="22"/>
      <c r="BY142" s="22"/>
      <c r="BZ142" s="22"/>
      <c r="CA142" s="22"/>
      <c r="CB142" s="22"/>
      <c r="CC142" s="22"/>
    </row>
    <row r="143" spans="1:81" x14ac:dyDescent="0.2">
      <c r="A143" s="22"/>
      <c r="B143" s="22"/>
      <c r="C143" s="22"/>
      <c r="D143" s="22"/>
      <c r="E143" s="22"/>
      <c r="F143" s="22"/>
      <c r="G143" s="22"/>
      <c r="H143" s="22"/>
      <c r="I143" s="22"/>
      <c r="J143" s="177"/>
      <c r="K143" s="177"/>
      <c r="L143" s="22"/>
      <c r="M143" s="22"/>
      <c r="N143" s="22"/>
      <c r="O143" s="22"/>
      <c r="P143" s="22"/>
      <c r="Q143" s="22"/>
      <c r="R143" s="22"/>
      <c r="S143" s="22"/>
      <c r="Z143" s="22"/>
      <c r="AA143" s="22"/>
      <c r="AB143" s="22"/>
      <c r="AC143" s="22"/>
      <c r="AD143" s="22"/>
      <c r="AE143" s="22"/>
      <c r="AF143" s="22"/>
      <c r="AG143" s="22"/>
      <c r="AH143" s="22"/>
      <c r="AI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c r="BH143" s="22"/>
      <c r="BI143" s="22"/>
      <c r="BJ143" s="22"/>
      <c r="BK143" s="22"/>
      <c r="BL143" s="22"/>
      <c r="BM143" s="22"/>
      <c r="BN143" s="22"/>
      <c r="BO143" s="22"/>
      <c r="BP143" s="22"/>
      <c r="BQ143" s="22"/>
      <c r="BR143" s="22"/>
      <c r="BS143" s="22"/>
      <c r="BT143" s="22"/>
      <c r="BU143" s="22"/>
      <c r="BV143" s="22"/>
      <c r="BW143" s="22"/>
      <c r="BX143" s="22"/>
      <c r="BY143" s="22"/>
      <c r="BZ143" s="22"/>
      <c r="CA143" s="22"/>
      <c r="CB143" s="22"/>
      <c r="CC143" s="22"/>
    </row>
    <row r="144" spans="1:81" x14ac:dyDescent="0.2">
      <c r="A144" s="22"/>
      <c r="B144" s="22"/>
      <c r="C144" s="63"/>
      <c r="D144" s="63"/>
      <c r="E144" s="63"/>
      <c r="F144" s="63"/>
      <c r="G144" s="63"/>
      <c r="H144" s="63"/>
      <c r="I144" s="63"/>
      <c r="J144" s="177"/>
      <c r="K144" s="177"/>
      <c r="L144" s="22"/>
      <c r="M144" s="22"/>
      <c r="N144" s="22"/>
      <c r="O144" s="22"/>
      <c r="P144" s="22"/>
      <c r="Q144" s="22"/>
      <c r="R144" s="22"/>
      <c r="S144" s="22"/>
      <c r="Z144" s="22"/>
      <c r="AA144" s="22"/>
      <c r="AB144" s="22"/>
      <c r="AC144" s="22"/>
      <c r="AD144" s="22"/>
      <c r="AE144" s="22"/>
      <c r="AF144" s="22"/>
      <c r="AG144" s="22"/>
      <c r="AH144" s="22"/>
      <c r="AI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c r="BN144" s="22"/>
      <c r="BO144" s="22"/>
      <c r="BP144" s="22"/>
      <c r="BQ144" s="22"/>
      <c r="BR144" s="22"/>
      <c r="BS144" s="22"/>
      <c r="BT144" s="22"/>
      <c r="BU144" s="22"/>
      <c r="BV144" s="22"/>
      <c r="BW144" s="22"/>
      <c r="BX144" s="22"/>
      <c r="BY144" s="22"/>
      <c r="BZ144" s="22"/>
      <c r="CA144" s="22"/>
      <c r="CB144" s="22"/>
      <c r="CC144" s="22"/>
    </row>
    <row r="145" spans="1:81" x14ac:dyDescent="0.2">
      <c r="A145" s="22"/>
      <c r="B145" s="22"/>
      <c r="C145" s="22"/>
      <c r="D145" s="22"/>
      <c r="E145" s="22"/>
      <c r="F145" s="22"/>
      <c r="G145" s="22"/>
      <c r="H145" s="22"/>
      <c r="I145" s="22"/>
      <c r="J145" s="22"/>
      <c r="K145" s="22"/>
      <c r="L145" s="22"/>
      <c r="M145" s="22"/>
      <c r="N145" s="22"/>
      <c r="O145" s="22"/>
      <c r="P145" s="22"/>
      <c r="Q145" s="22"/>
      <c r="R145" s="22"/>
      <c r="S145" s="22"/>
      <c r="Z145" s="22"/>
      <c r="AA145" s="22"/>
      <c r="AB145" s="22"/>
      <c r="AC145" s="22"/>
      <c r="AD145" s="22"/>
      <c r="AE145" s="22"/>
      <c r="AF145" s="22"/>
      <c r="AG145" s="22"/>
      <c r="AH145" s="22"/>
      <c r="AI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c r="BG145" s="22"/>
      <c r="BH145" s="22"/>
      <c r="BI145" s="22"/>
      <c r="BJ145" s="22"/>
      <c r="BK145" s="22"/>
      <c r="BL145" s="22"/>
      <c r="BM145" s="22"/>
      <c r="BN145" s="22"/>
      <c r="BO145" s="22"/>
      <c r="BP145" s="22"/>
      <c r="BQ145" s="22"/>
      <c r="BR145" s="22"/>
      <c r="BS145" s="22"/>
      <c r="BT145" s="22"/>
      <c r="BU145" s="22"/>
      <c r="BV145" s="22"/>
      <c r="BW145" s="22"/>
      <c r="BX145" s="22"/>
      <c r="BY145" s="22"/>
      <c r="BZ145" s="22"/>
      <c r="CA145" s="22"/>
      <c r="CB145" s="22"/>
      <c r="CC145" s="22"/>
    </row>
    <row r="146" spans="1:81" x14ac:dyDescent="0.2">
      <c r="A146" s="22"/>
      <c r="B146" s="22"/>
      <c r="C146" s="22"/>
      <c r="D146" s="22"/>
      <c r="E146" s="22"/>
      <c r="F146" s="22"/>
      <c r="G146" s="22"/>
      <c r="H146" s="22"/>
      <c r="I146" s="22"/>
      <c r="J146" s="177"/>
      <c r="K146" s="177"/>
      <c r="L146" s="22"/>
      <c r="M146" s="22"/>
      <c r="N146" s="22"/>
      <c r="O146" s="22"/>
      <c r="P146" s="22"/>
      <c r="Q146" s="22"/>
      <c r="R146" s="22"/>
      <c r="S146" s="22"/>
      <c r="Z146" s="22"/>
      <c r="AA146" s="22"/>
      <c r="AB146" s="22"/>
      <c r="AC146" s="22"/>
      <c r="AD146" s="22"/>
      <c r="AE146" s="22"/>
      <c r="AF146" s="22"/>
      <c r="AG146" s="22"/>
      <c r="AH146" s="22"/>
      <c r="AI146" s="22"/>
      <c r="AL146" s="22"/>
      <c r="AM146" s="22"/>
      <c r="AN146" s="22"/>
      <c r="AO146" s="22"/>
      <c r="AP146" s="22"/>
      <c r="AQ146" s="22"/>
      <c r="AR146" s="22"/>
      <c r="AS146" s="22"/>
      <c r="AT146" s="22"/>
      <c r="AU146" s="22"/>
      <c r="AV146" s="22"/>
      <c r="AW146" s="22"/>
      <c r="AX146" s="22"/>
      <c r="AY146" s="22"/>
      <c r="AZ146" s="22"/>
      <c r="BA146" s="22"/>
      <c r="BB146" s="22"/>
      <c r="BC146" s="22"/>
      <c r="BD146" s="22"/>
      <c r="BE146" s="22"/>
      <c r="BF146" s="22"/>
      <c r="BG146" s="22"/>
      <c r="BH146" s="22"/>
      <c r="BI146" s="22"/>
      <c r="BJ146" s="22"/>
      <c r="BK146" s="22"/>
      <c r="BL146" s="22"/>
      <c r="BM146" s="22"/>
      <c r="BN146" s="22"/>
      <c r="BO146" s="22"/>
      <c r="BP146" s="22"/>
      <c r="BQ146" s="22"/>
      <c r="BR146" s="22"/>
      <c r="BS146" s="22"/>
      <c r="BT146" s="22"/>
      <c r="BU146" s="22"/>
      <c r="BV146" s="22"/>
      <c r="BW146" s="22"/>
      <c r="BX146" s="22"/>
      <c r="BY146" s="22"/>
      <c r="BZ146" s="22"/>
      <c r="CA146" s="22"/>
      <c r="CB146" s="22"/>
      <c r="CC146" s="22"/>
    </row>
    <row r="147" spans="1:81" x14ac:dyDescent="0.2">
      <c r="A147" s="22"/>
      <c r="B147" s="22"/>
      <c r="C147" s="22"/>
      <c r="D147" s="22"/>
      <c r="E147" s="22"/>
      <c r="F147" s="22"/>
      <c r="G147" s="22"/>
      <c r="H147" s="22"/>
      <c r="I147" s="22"/>
      <c r="J147" s="177"/>
      <c r="K147" s="177"/>
      <c r="L147" s="22"/>
      <c r="M147" s="22"/>
      <c r="N147" s="22"/>
      <c r="O147" s="22"/>
      <c r="P147" s="22"/>
      <c r="Q147" s="22"/>
      <c r="R147" s="22"/>
      <c r="S147" s="22"/>
      <c r="Z147" s="22"/>
      <c r="AA147" s="22"/>
      <c r="AB147" s="22"/>
      <c r="AC147" s="22"/>
      <c r="AD147" s="22"/>
      <c r="AE147" s="22"/>
      <c r="AF147" s="22"/>
      <c r="AG147" s="22"/>
      <c r="AH147" s="22"/>
      <c r="AI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c r="BG147" s="22"/>
      <c r="BH147" s="22"/>
      <c r="BI147" s="22"/>
      <c r="BJ147" s="22"/>
      <c r="BK147" s="22"/>
      <c r="BL147" s="22"/>
      <c r="BM147" s="22"/>
      <c r="BN147" s="22"/>
      <c r="BO147" s="22"/>
      <c r="BP147" s="22"/>
      <c r="BQ147" s="22"/>
      <c r="BR147" s="22"/>
      <c r="BS147" s="22"/>
      <c r="BT147" s="22"/>
      <c r="BU147" s="22"/>
      <c r="BV147" s="22"/>
      <c r="BW147" s="22"/>
      <c r="BX147" s="22"/>
      <c r="BY147" s="22"/>
      <c r="BZ147" s="22"/>
      <c r="CA147" s="22"/>
      <c r="CB147" s="22"/>
      <c r="CC147" s="22"/>
    </row>
    <row r="148" spans="1:81" x14ac:dyDescent="0.2">
      <c r="A148" s="22"/>
      <c r="B148" s="22"/>
      <c r="C148" s="22"/>
      <c r="D148" s="22"/>
      <c r="E148" s="22"/>
      <c r="F148" s="22"/>
      <c r="G148" s="22"/>
      <c r="H148" s="22"/>
      <c r="I148" s="22"/>
      <c r="J148" s="177"/>
      <c r="K148" s="177"/>
      <c r="L148" s="22"/>
      <c r="M148" s="22"/>
      <c r="N148" s="22"/>
      <c r="O148" s="22"/>
      <c r="P148" s="22"/>
      <c r="Q148" s="22"/>
      <c r="R148" s="22"/>
      <c r="S148" s="22"/>
      <c r="Z148" s="22"/>
      <c r="AA148" s="22"/>
      <c r="AB148" s="22"/>
      <c r="AC148" s="22"/>
      <c r="AD148" s="22"/>
      <c r="AE148" s="22"/>
      <c r="AF148" s="22"/>
      <c r="AG148" s="22"/>
      <c r="AH148" s="22"/>
      <c r="AI148" s="22"/>
      <c r="AL148" s="22"/>
      <c r="AM148" s="22"/>
      <c r="AN148" s="22"/>
      <c r="AO148" s="22"/>
      <c r="AP148" s="22"/>
      <c r="AQ148" s="22"/>
      <c r="AR148" s="22"/>
      <c r="AS148" s="22"/>
      <c r="AT148" s="22"/>
      <c r="AU148" s="22"/>
      <c r="AV148" s="22"/>
      <c r="AW148" s="22"/>
      <c r="AX148" s="22"/>
      <c r="AY148" s="22"/>
      <c r="AZ148" s="22"/>
      <c r="BA148" s="22"/>
      <c r="BB148" s="22"/>
      <c r="BC148" s="22"/>
      <c r="BD148" s="22"/>
      <c r="BE148" s="22"/>
      <c r="BF148" s="22"/>
      <c r="BG148" s="22"/>
      <c r="BH148" s="22"/>
      <c r="BI148" s="22"/>
      <c r="BJ148" s="22"/>
      <c r="BK148" s="22"/>
      <c r="BL148" s="22"/>
      <c r="BM148" s="22"/>
      <c r="BN148" s="22"/>
      <c r="BO148" s="22"/>
      <c r="BP148" s="22"/>
      <c r="BQ148" s="22"/>
      <c r="BR148" s="22"/>
      <c r="BS148" s="22"/>
      <c r="BT148" s="22"/>
      <c r="BU148" s="22"/>
      <c r="BV148" s="22"/>
      <c r="BW148" s="22"/>
      <c r="BX148" s="22"/>
      <c r="BY148" s="22"/>
      <c r="BZ148" s="22"/>
      <c r="CA148" s="22"/>
      <c r="CB148" s="22"/>
      <c r="CC148" s="22"/>
    </row>
    <row r="149" spans="1:81" x14ac:dyDescent="0.2">
      <c r="A149" s="22"/>
      <c r="B149" s="22"/>
      <c r="C149" s="22"/>
      <c r="D149" s="22"/>
      <c r="E149" s="22"/>
      <c r="F149" s="22"/>
      <c r="G149" s="22"/>
      <c r="H149" s="22"/>
      <c r="I149" s="22"/>
      <c r="J149" s="177"/>
      <c r="K149" s="177"/>
      <c r="L149" s="22"/>
      <c r="M149" s="22"/>
      <c r="N149" s="22"/>
      <c r="O149" s="22"/>
      <c r="P149" s="22"/>
      <c r="Q149" s="22"/>
      <c r="R149" s="22"/>
      <c r="S149" s="22"/>
      <c r="Z149" s="22"/>
      <c r="AA149" s="22"/>
      <c r="AB149" s="22"/>
      <c r="AC149" s="22"/>
      <c r="AD149" s="22"/>
      <c r="AE149" s="22"/>
      <c r="AF149" s="22"/>
      <c r="AG149" s="22"/>
      <c r="AH149" s="22"/>
      <c r="AI149" s="22"/>
      <c r="AL149" s="22"/>
      <c r="AM149" s="22"/>
      <c r="AN149" s="22"/>
      <c r="AO149" s="22"/>
      <c r="AP149" s="22"/>
      <c r="AQ149" s="22"/>
      <c r="AR149" s="22"/>
      <c r="AS149" s="22"/>
      <c r="AT149" s="22"/>
      <c r="AU149" s="22"/>
      <c r="AV149" s="22"/>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c r="BU149" s="22"/>
      <c r="BV149" s="22"/>
      <c r="BW149" s="22"/>
      <c r="BX149" s="22"/>
      <c r="BY149" s="22"/>
      <c r="BZ149" s="22"/>
      <c r="CA149" s="22"/>
      <c r="CB149" s="22"/>
      <c r="CC149" s="22"/>
    </row>
    <row r="150" spans="1:81" x14ac:dyDescent="0.2">
      <c r="A150" s="22"/>
      <c r="B150" s="22"/>
      <c r="C150" s="22"/>
      <c r="D150" s="22"/>
      <c r="E150" s="22"/>
      <c r="F150" s="22"/>
      <c r="G150" s="22"/>
      <c r="H150" s="22"/>
      <c r="I150" s="22"/>
      <c r="J150" s="177"/>
      <c r="K150" s="177"/>
      <c r="L150" s="22"/>
      <c r="M150" s="22"/>
      <c r="N150" s="22"/>
      <c r="O150" s="22"/>
      <c r="P150" s="22"/>
      <c r="Q150" s="22"/>
      <c r="R150" s="22"/>
      <c r="S150" s="22"/>
      <c r="Z150" s="22"/>
      <c r="AA150" s="22"/>
      <c r="AB150" s="22"/>
      <c r="AC150" s="22"/>
      <c r="AD150" s="22"/>
      <c r="AE150" s="22"/>
      <c r="AF150" s="22"/>
      <c r="AG150" s="22"/>
      <c r="AH150" s="22"/>
      <c r="AI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22"/>
      <c r="BN150" s="22"/>
      <c r="BO150" s="22"/>
      <c r="BP150" s="22"/>
      <c r="BQ150" s="22"/>
      <c r="BR150" s="22"/>
      <c r="BS150" s="22"/>
      <c r="BT150" s="22"/>
      <c r="BU150" s="22"/>
      <c r="BV150" s="22"/>
      <c r="BW150" s="22"/>
      <c r="BX150" s="22"/>
      <c r="BY150" s="22"/>
      <c r="BZ150" s="22"/>
      <c r="CA150" s="22"/>
      <c r="CB150" s="22"/>
      <c r="CC150" s="22"/>
    </row>
    <row r="151" spans="1:81" x14ac:dyDescent="0.2">
      <c r="A151" s="22"/>
      <c r="B151" s="22"/>
      <c r="C151" s="22"/>
      <c r="D151" s="22"/>
      <c r="E151" s="22"/>
      <c r="F151" s="22"/>
      <c r="G151" s="22"/>
      <c r="H151" s="22"/>
      <c r="I151" s="22"/>
      <c r="J151" s="177"/>
      <c r="K151" s="177"/>
      <c r="L151" s="22"/>
      <c r="M151" s="22"/>
      <c r="N151" s="22"/>
      <c r="O151" s="22"/>
      <c r="P151" s="22"/>
      <c r="Q151" s="22"/>
      <c r="R151" s="22"/>
      <c r="S151" s="22"/>
      <c r="Z151" s="22"/>
      <c r="AA151" s="22"/>
      <c r="AB151" s="22"/>
      <c r="AC151" s="22"/>
      <c r="AD151" s="22"/>
      <c r="AE151" s="22"/>
      <c r="AF151" s="22"/>
      <c r="AG151" s="22"/>
      <c r="AH151" s="22"/>
      <c r="AI151" s="22"/>
      <c r="AL151" s="22"/>
      <c r="AM151" s="22"/>
      <c r="AN151" s="22"/>
      <c r="AO151" s="22"/>
      <c r="AP151" s="22"/>
      <c r="AQ151" s="22"/>
      <c r="AR151" s="22"/>
      <c r="AS151" s="22"/>
      <c r="AT151" s="22"/>
      <c r="AU151" s="22"/>
      <c r="AV151" s="22"/>
      <c r="AW151" s="22"/>
      <c r="AX151" s="22"/>
      <c r="AY151" s="22"/>
      <c r="AZ151" s="22"/>
      <c r="BA151" s="22"/>
      <c r="BB151" s="22"/>
      <c r="BC151" s="22"/>
      <c r="BD151" s="22"/>
      <c r="BE151" s="22"/>
      <c r="BF151" s="22"/>
      <c r="BG151" s="22"/>
      <c r="BH151" s="22"/>
      <c r="BI151" s="22"/>
      <c r="BJ151" s="22"/>
      <c r="BK151" s="22"/>
      <c r="BL151" s="22"/>
      <c r="BM151" s="22"/>
      <c r="BN151" s="22"/>
      <c r="BO151" s="22"/>
      <c r="BP151" s="22"/>
      <c r="BQ151" s="22"/>
      <c r="BR151" s="22"/>
      <c r="BS151" s="22"/>
      <c r="BT151" s="22"/>
      <c r="BU151" s="22"/>
      <c r="BV151" s="22"/>
      <c r="BW151" s="22"/>
      <c r="BX151" s="22"/>
      <c r="BY151" s="22"/>
      <c r="BZ151" s="22"/>
      <c r="CA151" s="22"/>
      <c r="CB151" s="22"/>
      <c r="CC151" s="22"/>
    </row>
    <row r="152" spans="1:81" x14ac:dyDescent="0.2">
      <c r="A152" s="22"/>
      <c r="B152" s="22"/>
      <c r="C152" s="22"/>
      <c r="D152" s="22"/>
      <c r="E152" s="22"/>
      <c r="F152" s="22"/>
      <c r="G152" s="22"/>
      <c r="H152" s="22"/>
      <c r="I152" s="22"/>
      <c r="J152" s="22"/>
      <c r="K152" s="22"/>
      <c r="L152" s="22"/>
      <c r="M152" s="22"/>
      <c r="N152" s="22"/>
      <c r="O152" s="22"/>
      <c r="P152" s="22"/>
      <c r="Q152" s="22"/>
      <c r="R152" s="22"/>
      <c r="S152" s="22"/>
      <c r="Z152" s="22"/>
      <c r="AA152" s="22"/>
      <c r="AB152" s="22"/>
      <c r="AC152" s="22"/>
      <c r="AD152" s="22"/>
      <c r="AE152" s="22"/>
      <c r="AF152" s="22"/>
      <c r="AG152" s="22"/>
      <c r="AH152" s="22"/>
      <c r="AI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c r="BH152" s="22"/>
      <c r="BI152" s="22"/>
      <c r="BJ152" s="22"/>
      <c r="BK152" s="22"/>
      <c r="BL152" s="22"/>
      <c r="BM152" s="22"/>
      <c r="BN152" s="22"/>
      <c r="BO152" s="22"/>
      <c r="BP152" s="22"/>
      <c r="BQ152" s="22"/>
      <c r="BR152" s="22"/>
      <c r="BS152" s="22"/>
      <c r="BT152" s="22"/>
      <c r="BU152" s="22"/>
      <c r="BV152" s="22"/>
      <c r="BW152" s="22"/>
      <c r="BX152" s="22"/>
      <c r="BY152" s="22"/>
      <c r="BZ152" s="22"/>
      <c r="CA152" s="22"/>
      <c r="CB152" s="22"/>
      <c r="CC152" s="22"/>
    </row>
    <row r="153" spans="1:81" x14ac:dyDescent="0.2">
      <c r="A153" s="22"/>
      <c r="B153" s="22"/>
      <c r="C153" s="22"/>
      <c r="D153" s="22"/>
      <c r="E153" s="22"/>
      <c r="F153" s="22"/>
      <c r="G153" s="22"/>
      <c r="H153" s="22"/>
      <c r="I153" s="22"/>
      <c r="J153" s="177"/>
      <c r="K153" s="177"/>
      <c r="L153" s="22"/>
      <c r="M153" s="22"/>
      <c r="N153" s="22"/>
      <c r="O153" s="22"/>
      <c r="P153" s="22"/>
      <c r="Q153" s="22"/>
      <c r="R153" s="22"/>
      <c r="S153" s="22"/>
      <c r="Z153" s="22"/>
      <c r="AA153" s="22"/>
      <c r="AB153" s="22"/>
      <c r="AC153" s="22"/>
      <c r="AD153" s="22"/>
      <c r="AE153" s="22"/>
      <c r="AF153" s="22"/>
      <c r="AG153" s="22"/>
      <c r="AH153" s="22"/>
      <c r="AI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c r="BM153" s="22"/>
      <c r="BN153" s="22"/>
      <c r="BO153" s="22"/>
      <c r="BP153" s="22"/>
      <c r="BQ153" s="22"/>
      <c r="BR153" s="22"/>
      <c r="BS153" s="22"/>
      <c r="BT153" s="22"/>
      <c r="BU153" s="22"/>
      <c r="BV153" s="22"/>
      <c r="BW153" s="22"/>
      <c r="BX153" s="22"/>
      <c r="BY153" s="22"/>
      <c r="BZ153" s="22"/>
      <c r="CA153" s="22"/>
      <c r="CB153" s="22"/>
      <c r="CC153" s="22"/>
    </row>
    <row r="154" spans="1:81" x14ac:dyDescent="0.2">
      <c r="A154" s="22"/>
      <c r="B154" s="22"/>
      <c r="C154" s="22"/>
      <c r="D154" s="22"/>
      <c r="E154" s="22"/>
      <c r="F154" s="22"/>
      <c r="G154" s="22"/>
      <c r="H154" s="22"/>
      <c r="I154" s="22"/>
      <c r="J154" s="177"/>
      <c r="K154" s="177"/>
      <c r="L154" s="22"/>
      <c r="M154" s="22"/>
      <c r="N154" s="22"/>
      <c r="O154" s="22"/>
      <c r="P154" s="22"/>
      <c r="Q154" s="22"/>
      <c r="R154" s="22"/>
      <c r="S154" s="22"/>
      <c r="Z154" s="22"/>
      <c r="AA154" s="22"/>
      <c r="AB154" s="22"/>
      <c r="AC154" s="22"/>
      <c r="AD154" s="22"/>
      <c r="AE154" s="22"/>
      <c r="AF154" s="22"/>
      <c r="AG154" s="22"/>
      <c r="AH154" s="22"/>
      <c r="AI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22"/>
      <c r="BS154" s="22"/>
      <c r="BT154" s="22"/>
      <c r="BU154" s="22"/>
      <c r="BV154" s="22"/>
      <c r="BW154" s="22"/>
      <c r="BX154" s="22"/>
      <c r="BY154" s="22"/>
      <c r="BZ154" s="22"/>
      <c r="CA154" s="22"/>
      <c r="CB154" s="22"/>
      <c r="CC154" s="22"/>
    </row>
    <row r="155" spans="1:81" x14ac:dyDescent="0.2">
      <c r="A155" s="22"/>
      <c r="B155" s="22"/>
      <c r="C155" s="22"/>
      <c r="D155" s="22"/>
      <c r="E155" s="22"/>
      <c r="F155" s="22"/>
      <c r="G155" s="22"/>
      <c r="H155" s="22"/>
      <c r="I155" s="22"/>
      <c r="J155" s="177"/>
      <c r="K155" s="177"/>
      <c r="L155" s="22"/>
      <c r="M155" s="22"/>
      <c r="N155" s="22"/>
      <c r="O155" s="22"/>
      <c r="P155" s="22"/>
      <c r="Q155" s="22"/>
      <c r="R155" s="22"/>
      <c r="S155" s="22"/>
      <c r="Z155" s="22"/>
      <c r="AA155" s="22"/>
      <c r="AB155" s="22"/>
      <c r="AC155" s="22"/>
      <c r="AD155" s="22"/>
      <c r="AE155" s="22"/>
      <c r="AF155" s="22"/>
      <c r="AG155" s="22"/>
      <c r="AH155" s="22"/>
      <c r="AI155" s="22"/>
      <c r="AL155" s="22"/>
      <c r="AM155" s="22"/>
      <c r="AN155" s="22"/>
      <c r="AO155" s="22"/>
      <c r="AP155" s="22"/>
      <c r="AQ155" s="22"/>
      <c r="AR155" s="22"/>
      <c r="AS155" s="22"/>
      <c r="AT155" s="22"/>
      <c r="AU155" s="22"/>
      <c r="AV155" s="22"/>
      <c r="AW155" s="22"/>
      <c r="AX155" s="22"/>
      <c r="AY155" s="22"/>
      <c r="AZ155" s="22"/>
      <c r="BA155" s="22"/>
      <c r="BB155" s="22"/>
      <c r="BC155" s="22"/>
      <c r="BD155" s="22"/>
      <c r="BE155" s="22"/>
      <c r="BF155" s="22"/>
      <c r="BG155" s="22"/>
      <c r="BH155" s="22"/>
      <c r="BI155" s="22"/>
      <c r="BJ155" s="22"/>
      <c r="BK155" s="22"/>
      <c r="BL155" s="22"/>
      <c r="BM155" s="22"/>
      <c r="BN155" s="22"/>
      <c r="BO155" s="22"/>
      <c r="BP155" s="22"/>
      <c r="BQ155" s="22"/>
      <c r="BR155" s="22"/>
      <c r="BS155" s="22"/>
      <c r="BT155" s="22"/>
      <c r="BU155" s="22"/>
      <c r="BV155" s="22"/>
      <c r="BW155" s="22"/>
      <c r="BX155" s="22"/>
      <c r="BY155" s="22"/>
      <c r="BZ155" s="22"/>
      <c r="CA155" s="22"/>
      <c r="CB155" s="22"/>
      <c r="CC155" s="22"/>
    </row>
    <row r="156" spans="1:81" x14ac:dyDescent="0.2">
      <c r="A156" s="22"/>
      <c r="B156" s="22"/>
      <c r="C156" s="22"/>
      <c r="D156" s="22"/>
      <c r="E156" s="22"/>
      <c r="F156" s="22"/>
      <c r="G156" s="22"/>
      <c r="H156" s="22"/>
      <c r="I156" s="22"/>
      <c r="J156" s="177"/>
      <c r="K156" s="177"/>
      <c r="L156" s="22"/>
      <c r="M156" s="22"/>
      <c r="N156" s="22"/>
      <c r="O156" s="22"/>
      <c r="P156" s="22"/>
      <c r="Q156" s="22"/>
      <c r="R156" s="22"/>
      <c r="S156" s="22"/>
      <c r="Z156" s="22"/>
      <c r="AA156" s="22"/>
      <c r="AB156" s="22"/>
      <c r="AC156" s="22"/>
      <c r="AD156" s="22"/>
      <c r="AE156" s="22"/>
      <c r="AF156" s="22"/>
      <c r="AG156" s="22"/>
      <c r="AH156" s="22"/>
      <c r="AI156" s="22"/>
      <c r="AL156" s="22"/>
      <c r="AM156" s="22"/>
      <c r="AN156" s="22"/>
      <c r="AO156" s="22"/>
      <c r="AP156" s="22"/>
      <c r="AQ156" s="22"/>
      <c r="AR156" s="22"/>
      <c r="AS156" s="22"/>
      <c r="AT156" s="22"/>
      <c r="AU156" s="22"/>
      <c r="AV156" s="22"/>
      <c r="AW156" s="22"/>
      <c r="AX156" s="22"/>
      <c r="AY156" s="22"/>
      <c r="AZ156" s="22"/>
      <c r="BA156" s="22"/>
      <c r="BB156" s="22"/>
      <c r="BC156" s="22"/>
      <c r="BD156" s="22"/>
      <c r="BE156" s="22"/>
      <c r="BF156" s="22"/>
      <c r="BG156" s="22"/>
      <c r="BH156" s="22"/>
      <c r="BI156" s="22"/>
      <c r="BJ156" s="22"/>
      <c r="BK156" s="22"/>
      <c r="BL156" s="22"/>
      <c r="BM156" s="22"/>
      <c r="BN156" s="22"/>
      <c r="BO156" s="22"/>
      <c r="BP156" s="22"/>
      <c r="BQ156" s="22"/>
      <c r="BR156" s="22"/>
      <c r="BS156" s="22"/>
      <c r="BT156" s="22"/>
      <c r="BU156" s="22"/>
      <c r="BV156" s="22"/>
      <c r="BW156" s="22"/>
      <c r="BX156" s="22"/>
      <c r="BY156" s="22"/>
      <c r="BZ156" s="22"/>
      <c r="CA156" s="22"/>
      <c r="CB156" s="22"/>
      <c r="CC156" s="22"/>
    </row>
    <row r="157" spans="1:81" x14ac:dyDescent="0.2">
      <c r="A157" s="36"/>
      <c r="B157" s="22"/>
      <c r="C157" s="22"/>
      <c r="D157" s="22"/>
      <c r="E157" s="22"/>
      <c r="F157" s="22"/>
      <c r="G157" s="22"/>
      <c r="H157" s="22"/>
      <c r="I157" s="22"/>
      <c r="J157" s="177"/>
      <c r="K157" s="177"/>
      <c r="L157" s="22"/>
      <c r="M157" s="22"/>
      <c r="N157" s="22"/>
      <c r="O157" s="22"/>
      <c r="P157" s="22"/>
      <c r="Q157" s="22"/>
      <c r="R157" s="22"/>
      <c r="S157" s="22"/>
      <c r="Z157" s="22"/>
      <c r="AA157" s="22"/>
      <c r="AB157" s="22"/>
      <c r="AC157" s="22"/>
      <c r="AD157" s="22"/>
      <c r="AE157" s="22"/>
      <c r="AF157" s="22"/>
      <c r="AG157" s="22"/>
      <c r="AH157" s="22"/>
      <c r="AI157" s="22"/>
      <c r="AL157" s="22"/>
      <c r="AM157" s="22"/>
      <c r="AN157" s="22"/>
      <c r="AO157" s="22"/>
      <c r="AP157" s="22"/>
      <c r="AQ157" s="22"/>
      <c r="AR157" s="22"/>
      <c r="AS157" s="22"/>
      <c r="AT157" s="22"/>
      <c r="AU157" s="22"/>
      <c r="AV157" s="22"/>
      <c r="AW157" s="22"/>
      <c r="AX157" s="22"/>
      <c r="AY157" s="22"/>
      <c r="AZ157" s="22"/>
      <c r="BA157" s="22"/>
      <c r="BB157" s="22"/>
      <c r="BC157" s="22"/>
      <c r="BD157" s="22"/>
      <c r="BE157" s="22"/>
      <c r="BF157" s="22"/>
      <c r="BG157" s="22"/>
      <c r="BH157" s="22"/>
      <c r="BI157" s="22"/>
      <c r="BJ157" s="22"/>
      <c r="BK157" s="22"/>
      <c r="BL157" s="22"/>
      <c r="BM157" s="22"/>
      <c r="BN157" s="22"/>
      <c r="BO157" s="22"/>
      <c r="BP157" s="22"/>
      <c r="BQ157" s="22"/>
      <c r="BR157" s="22"/>
      <c r="BS157" s="22"/>
      <c r="BT157" s="22"/>
      <c r="BU157" s="22"/>
      <c r="BV157" s="22"/>
      <c r="BW157" s="22"/>
      <c r="BX157" s="22"/>
      <c r="BY157" s="22"/>
      <c r="BZ157" s="22"/>
      <c r="CA157" s="22"/>
      <c r="CB157" s="22"/>
      <c r="CC157" s="22"/>
    </row>
    <row r="158" spans="1:81" x14ac:dyDescent="0.2">
      <c r="A158" s="36"/>
      <c r="B158" s="22"/>
      <c r="C158" s="22"/>
      <c r="D158" s="22"/>
      <c r="E158" s="22"/>
      <c r="F158" s="22"/>
      <c r="G158" s="22"/>
      <c r="H158" s="22"/>
      <c r="I158" s="22"/>
      <c r="J158" s="177"/>
      <c r="K158" s="177"/>
      <c r="L158" s="22"/>
      <c r="M158" s="22"/>
      <c r="N158" s="22"/>
      <c r="O158" s="22"/>
      <c r="P158" s="22"/>
      <c r="Q158" s="22"/>
      <c r="R158" s="22"/>
      <c r="S158" s="22"/>
      <c r="Z158" s="22"/>
      <c r="AA158" s="22"/>
      <c r="AB158" s="22"/>
      <c r="AC158" s="22"/>
      <c r="AD158" s="22"/>
      <c r="AE158" s="22"/>
      <c r="AF158" s="22"/>
      <c r="AG158" s="22"/>
      <c r="AH158" s="22"/>
      <c r="AI158" s="22"/>
      <c r="AL158" s="22"/>
      <c r="AM158" s="22"/>
      <c r="AN158" s="22"/>
      <c r="AO158" s="22"/>
      <c r="AP158" s="22"/>
      <c r="AQ158" s="22"/>
      <c r="AR158" s="22"/>
      <c r="AS158" s="22"/>
      <c r="AT158" s="22"/>
      <c r="AU158" s="22"/>
      <c r="AV158" s="22"/>
      <c r="AW158" s="22"/>
      <c r="AX158" s="22"/>
      <c r="AY158" s="22"/>
      <c r="AZ158" s="22"/>
      <c r="BA158" s="22"/>
      <c r="BB158" s="22"/>
      <c r="BC158" s="22"/>
      <c r="BD158" s="22"/>
      <c r="BE158" s="22"/>
      <c r="BF158" s="22"/>
      <c r="BG158" s="22"/>
      <c r="BH158" s="22"/>
      <c r="BI158" s="22"/>
      <c r="BJ158" s="22"/>
      <c r="BK158" s="22"/>
      <c r="BL158" s="22"/>
      <c r="BM158" s="22"/>
      <c r="BN158" s="22"/>
      <c r="BO158" s="22"/>
      <c r="BP158" s="22"/>
      <c r="BQ158" s="22"/>
      <c r="BR158" s="22"/>
      <c r="BS158" s="22"/>
      <c r="BT158" s="22"/>
      <c r="BU158" s="22"/>
      <c r="BV158" s="22"/>
      <c r="BW158" s="22"/>
      <c r="BX158" s="22"/>
      <c r="BY158" s="22"/>
      <c r="BZ158" s="22"/>
      <c r="CA158" s="22"/>
      <c r="CB158" s="22"/>
      <c r="CC158" s="22"/>
    </row>
    <row r="159" spans="1:81" x14ac:dyDescent="0.2">
      <c r="A159" s="36"/>
      <c r="B159" s="22"/>
      <c r="C159" s="22"/>
      <c r="D159" s="22"/>
      <c r="E159" s="22"/>
      <c r="F159" s="22"/>
      <c r="G159" s="22"/>
      <c r="H159" s="22"/>
      <c r="I159" s="22"/>
      <c r="J159" s="177"/>
      <c r="K159" s="177"/>
      <c r="L159" s="22"/>
      <c r="M159" s="22"/>
      <c r="N159" s="22"/>
      <c r="O159" s="22"/>
      <c r="P159" s="22"/>
      <c r="Q159" s="22"/>
      <c r="R159" s="22"/>
      <c r="S159" s="22"/>
      <c r="Z159" s="22"/>
      <c r="AA159" s="22"/>
      <c r="AB159" s="22"/>
      <c r="AC159" s="22"/>
      <c r="AD159" s="22"/>
      <c r="AE159" s="22"/>
      <c r="AF159" s="22"/>
      <c r="AG159" s="22"/>
      <c r="AH159" s="22"/>
      <c r="AI159" s="22"/>
      <c r="AL159" s="22"/>
      <c r="AM159" s="22"/>
      <c r="AN159" s="22"/>
      <c r="AO159" s="22"/>
      <c r="AP159" s="22"/>
      <c r="AQ159" s="22"/>
      <c r="AR159" s="22"/>
      <c r="AS159" s="22"/>
      <c r="AT159" s="22"/>
      <c r="AU159" s="22"/>
      <c r="AV159" s="22"/>
      <c r="AW159" s="22"/>
      <c r="AX159" s="22"/>
      <c r="AY159" s="22"/>
      <c r="AZ159" s="22"/>
      <c r="BA159" s="22"/>
      <c r="BB159" s="22"/>
      <c r="BC159" s="22"/>
      <c r="BD159" s="22"/>
      <c r="BE159" s="22"/>
      <c r="BF159" s="22"/>
      <c r="BG159" s="22"/>
      <c r="BH159" s="22"/>
      <c r="BI159" s="22"/>
      <c r="BJ159" s="22"/>
      <c r="BK159" s="22"/>
      <c r="BL159" s="22"/>
      <c r="BM159" s="22"/>
      <c r="BN159" s="22"/>
      <c r="BO159" s="22"/>
      <c r="BP159" s="22"/>
      <c r="BQ159" s="22"/>
      <c r="BR159" s="22"/>
      <c r="BS159" s="22"/>
      <c r="BT159" s="22"/>
      <c r="BU159" s="22"/>
      <c r="BV159" s="22"/>
      <c r="BW159" s="22"/>
      <c r="BX159" s="22"/>
      <c r="BY159" s="22"/>
      <c r="BZ159" s="22"/>
      <c r="CA159" s="22"/>
      <c r="CB159" s="22"/>
      <c r="CC159" s="22"/>
    </row>
    <row r="160" spans="1:81" x14ac:dyDescent="0.2">
      <c r="A160" s="36"/>
      <c r="B160" s="22"/>
      <c r="C160" s="22"/>
      <c r="D160" s="22"/>
      <c r="E160" s="22"/>
      <c r="F160" s="22"/>
      <c r="G160" s="22"/>
      <c r="H160" s="22"/>
      <c r="I160" s="22"/>
      <c r="J160" s="177"/>
      <c r="K160" s="177"/>
      <c r="L160" s="22"/>
      <c r="M160" s="22"/>
      <c r="N160" s="22"/>
      <c r="O160" s="22"/>
      <c r="P160" s="22"/>
      <c r="Q160" s="22"/>
      <c r="R160" s="22"/>
      <c r="S160" s="22"/>
      <c r="Z160" s="22"/>
      <c r="AA160" s="22"/>
      <c r="AB160" s="22"/>
      <c r="AC160" s="22"/>
      <c r="AD160" s="22"/>
      <c r="AE160" s="22"/>
      <c r="AF160" s="22"/>
      <c r="AG160" s="22"/>
      <c r="AH160" s="22"/>
      <c r="AI160" s="22"/>
      <c r="AL160" s="22"/>
      <c r="AM160" s="22"/>
      <c r="AN160" s="22"/>
      <c r="AO160" s="22"/>
      <c r="AP160" s="22"/>
      <c r="AQ160" s="22"/>
      <c r="AR160" s="22"/>
      <c r="AS160" s="22"/>
      <c r="AT160" s="22"/>
      <c r="AU160" s="22"/>
      <c r="AV160" s="22"/>
      <c r="AW160" s="22"/>
      <c r="AX160" s="22"/>
      <c r="AY160" s="22"/>
      <c r="AZ160" s="22"/>
      <c r="BA160" s="22"/>
      <c r="BB160" s="22"/>
      <c r="BC160" s="22"/>
      <c r="BD160" s="22"/>
      <c r="BE160" s="22"/>
      <c r="BF160" s="22"/>
      <c r="BG160" s="22"/>
      <c r="BH160" s="22"/>
      <c r="BI160" s="22"/>
      <c r="BJ160" s="22"/>
      <c r="BK160" s="22"/>
      <c r="BL160" s="22"/>
      <c r="BM160" s="22"/>
      <c r="BN160" s="22"/>
      <c r="BO160" s="22"/>
      <c r="BP160" s="22"/>
      <c r="BQ160" s="22"/>
      <c r="BR160" s="22"/>
      <c r="BS160" s="22"/>
      <c r="BT160" s="22"/>
      <c r="BU160" s="22"/>
      <c r="BV160" s="22"/>
      <c r="BW160" s="22"/>
      <c r="BX160" s="22"/>
      <c r="BY160" s="22"/>
      <c r="BZ160" s="22"/>
      <c r="CA160" s="22"/>
      <c r="CB160" s="22"/>
      <c r="CC160" s="22"/>
    </row>
    <row r="161" spans="1:81" x14ac:dyDescent="0.2">
      <c r="A161" s="36"/>
      <c r="B161" s="22"/>
      <c r="C161" s="22"/>
      <c r="D161" s="22"/>
      <c r="E161" s="22"/>
      <c r="F161" s="22"/>
      <c r="G161" s="22"/>
      <c r="H161" s="22"/>
      <c r="I161" s="22"/>
      <c r="J161" s="177"/>
      <c r="K161" s="177"/>
      <c r="L161" s="22"/>
      <c r="M161" s="22"/>
      <c r="N161" s="22"/>
      <c r="O161" s="22"/>
      <c r="P161" s="22"/>
      <c r="Q161" s="22"/>
      <c r="R161" s="22"/>
      <c r="S161" s="22"/>
      <c r="Z161" s="22"/>
      <c r="AA161" s="22"/>
      <c r="AB161" s="22"/>
      <c r="AC161" s="22"/>
      <c r="AD161" s="22"/>
      <c r="AE161" s="22"/>
      <c r="AF161" s="22"/>
      <c r="AG161" s="22"/>
      <c r="AH161" s="22"/>
      <c r="AI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c r="BG161" s="22"/>
      <c r="BH161" s="22"/>
      <c r="BI161" s="22"/>
      <c r="BJ161" s="22"/>
      <c r="BK161" s="22"/>
      <c r="BL161" s="22"/>
      <c r="BM161" s="22"/>
      <c r="BN161" s="22"/>
      <c r="BO161" s="22"/>
      <c r="BP161" s="22"/>
      <c r="BQ161" s="22"/>
      <c r="BR161" s="22"/>
      <c r="BS161" s="22"/>
      <c r="BT161" s="22"/>
      <c r="BU161" s="22"/>
      <c r="BV161" s="22"/>
      <c r="BW161" s="22"/>
      <c r="BX161" s="22"/>
      <c r="BY161" s="22"/>
      <c r="BZ161" s="22"/>
      <c r="CA161" s="22"/>
      <c r="CB161" s="22"/>
      <c r="CC161" s="22"/>
    </row>
    <row r="162" spans="1:81" x14ac:dyDescent="0.2">
      <c r="A162" s="36"/>
      <c r="B162" s="22"/>
      <c r="C162" s="22"/>
      <c r="D162" s="22"/>
      <c r="E162" s="22"/>
      <c r="F162" s="22"/>
      <c r="G162" s="22"/>
      <c r="H162" s="22"/>
      <c r="I162" s="22"/>
      <c r="J162" s="177"/>
      <c r="K162" s="177"/>
      <c r="L162" s="22"/>
      <c r="M162" s="22"/>
      <c r="N162" s="22"/>
      <c r="O162" s="22"/>
      <c r="P162" s="22"/>
      <c r="Q162" s="22"/>
      <c r="R162" s="22"/>
      <c r="S162" s="22"/>
      <c r="Z162" s="22"/>
      <c r="AA162" s="22"/>
      <c r="AB162" s="22"/>
      <c r="AC162" s="22"/>
      <c r="AD162" s="22"/>
      <c r="AE162" s="22"/>
      <c r="AF162" s="22"/>
      <c r="AG162" s="22"/>
      <c r="AH162" s="22"/>
      <c r="AI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c r="BM162" s="22"/>
      <c r="BN162" s="22"/>
      <c r="BO162" s="22"/>
      <c r="BP162" s="22"/>
      <c r="BQ162" s="22"/>
      <c r="BR162" s="22"/>
      <c r="BS162" s="22"/>
      <c r="BT162" s="22"/>
      <c r="BU162" s="22"/>
      <c r="BV162" s="22"/>
      <c r="BW162" s="22"/>
      <c r="BX162" s="22"/>
      <c r="BY162" s="22"/>
      <c r="BZ162" s="22"/>
      <c r="CA162" s="22"/>
      <c r="CB162" s="22"/>
      <c r="CC162" s="22"/>
    </row>
    <row r="163" spans="1:81" x14ac:dyDescent="0.2">
      <c r="A163" s="36"/>
      <c r="B163" s="22"/>
      <c r="C163" s="22"/>
      <c r="D163" s="22"/>
      <c r="E163" s="22"/>
      <c r="F163" s="22"/>
      <c r="G163" s="22"/>
      <c r="H163" s="22"/>
      <c r="I163" s="22"/>
      <c r="J163" s="177"/>
      <c r="K163" s="177"/>
      <c r="L163" s="22"/>
      <c r="M163" s="22"/>
      <c r="N163" s="22"/>
      <c r="O163" s="22"/>
      <c r="P163" s="22"/>
      <c r="Q163" s="22"/>
      <c r="R163" s="22"/>
      <c r="S163" s="22"/>
      <c r="Z163" s="22"/>
      <c r="AA163" s="22"/>
      <c r="AB163" s="22"/>
      <c r="AC163" s="22"/>
      <c r="AD163" s="22"/>
      <c r="AE163" s="22"/>
      <c r="AF163" s="22"/>
      <c r="AG163" s="22"/>
      <c r="AH163" s="22"/>
      <c r="AI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c r="BH163" s="22"/>
      <c r="BI163" s="22"/>
      <c r="BJ163" s="22"/>
      <c r="BK163" s="22"/>
      <c r="BL163" s="22"/>
      <c r="BM163" s="22"/>
      <c r="BN163" s="22"/>
      <c r="BO163" s="22"/>
      <c r="BP163" s="22"/>
      <c r="BQ163" s="22"/>
      <c r="BR163" s="22"/>
      <c r="BS163" s="22"/>
      <c r="BT163" s="22"/>
      <c r="BU163" s="22"/>
      <c r="BV163" s="22"/>
      <c r="BW163" s="22"/>
      <c r="BX163" s="22"/>
      <c r="BY163" s="22"/>
      <c r="BZ163" s="22"/>
      <c r="CA163" s="22"/>
      <c r="CB163" s="22"/>
      <c r="CC163" s="22"/>
    </row>
    <row r="164" spans="1:81" x14ac:dyDescent="0.2">
      <c r="A164" s="36"/>
      <c r="B164" s="22"/>
      <c r="C164" s="22"/>
      <c r="D164" s="22"/>
      <c r="E164" s="22"/>
      <c r="F164" s="22"/>
      <c r="G164" s="22"/>
      <c r="H164" s="22"/>
      <c r="I164" s="22"/>
      <c r="J164" s="177"/>
      <c r="K164" s="177"/>
      <c r="L164" s="22"/>
      <c r="M164" s="22"/>
      <c r="N164" s="22"/>
      <c r="O164" s="22"/>
      <c r="P164" s="22"/>
      <c r="Q164" s="22"/>
      <c r="R164" s="22"/>
      <c r="S164" s="22"/>
      <c r="Z164" s="22"/>
      <c r="AA164" s="22"/>
      <c r="AB164" s="22"/>
      <c r="AC164" s="22"/>
      <c r="AD164" s="22"/>
      <c r="AE164" s="22"/>
      <c r="AF164" s="22"/>
      <c r="AG164" s="22"/>
      <c r="AH164" s="22"/>
      <c r="AI164" s="22"/>
      <c r="AL164" s="22"/>
      <c r="AM164" s="22"/>
      <c r="AN164" s="22"/>
      <c r="AO164" s="22"/>
      <c r="AP164" s="22"/>
      <c r="AQ164" s="22"/>
      <c r="AR164" s="22"/>
      <c r="AS164" s="22"/>
      <c r="AT164" s="22"/>
      <c r="AU164" s="22"/>
      <c r="AV164" s="22"/>
      <c r="AW164" s="22"/>
      <c r="AX164" s="22"/>
      <c r="AY164" s="22"/>
      <c r="AZ164" s="22"/>
      <c r="BA164" s="22"/>
      <c r="BB164" s="22"/>
      <c r="BC164" s="22"/>
      <c r="BD164" s="22"/>
      <c r="BE164" s="22"/>
      <c r="BF164" s="22"/>
      <c r="BG164" s="22"/>
      <c r="BH164" s="22"/>
      <c r="BI164" s="22"/>
      <c r="BJ164" s="22"/>
      <c r="BK164" s="22"/>
      <c r="BL164" s="22"/>
      <c r="BM164" s="22"/>
      <c r="BN164" s="22"/>
      <c r="BO164" s="22"/>
      <c r="BP164" s="22"/>
      <c r="BQ164" s="22"/>
      <c r="BR164" s="22"/>
      <c r="BS164" s="22"/>
      <c r="BT164" s="22"/>
      <c r="BU164" s="22"/>
      <c r="BV164" s="22"/>
      <c r="BW164" s="22"/>
      <c r="BX164" s="22"/>
      <c r="BY164" s="22"/>
      <c r="BZ164" s="22"/>
      <c r="CA164" s="22"/>
      <c r="CB164" s="22"/>
      <c r="CC164" s="22"/>
    </row>
    <row r="165" spans="1:81" x14ac:dyDescent="0.2">
      <c r="A165" s="36"/>
      <c r="B165" s="22"/>
      <c r="C165" s="22"/>
      <c r="D165" s="22"/>
      <c r="E165" s="22"/>
      <c r="F165" s="22"/>
      <c r="G165" s="22"/>
      <c r="H165" s="22"/>
      <c r="I165" s="22"/>
      <c r="J165" s="177"/>
      <c r="K165" s="177"/>
      <c r="L165" s="22"/>
      <c r="M165" s="22"/>
      <c r="N165" s="22"/>
      <c r="O165" s="22"/>
      <c r="P165" s="22"/>
      <c r="Q165" s="22"/>
      <c r="R165" s="22"/>
      <c r="S165" s="22"/>
      <c r="Z165" s="22"/>
      <c r="AA165" s="22"/>
      <c r="AB165" s="22"/>
      <c r="AC165" s="22"/>
      <c r="AD165" s="22"/>
      <c r="AE165" s="22"/>
      <c r="AF165" s="22"/>
      <c r="AG165" s="22"/>
      <c r="AH165" s="22"/>
      <c r="AI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c r="BG165" s="22"/>
      <c r="BH165" s="22"/>
      <c r="BI165" s="22"/>
      <c r="BJ165" s="22"/>
      <c r="BK165" s="22"/>
      <c r="BL165" s="22"/>
      <c r="BM165" s="22"/>
      <c r="BN165" s="22"/>
      <c r="BO165" s="22"/>
      <c r="BP165" s="22"/>
      <c r="BQ165" s="22"/>
      <c r="BR165" s="22"/>
      <c r="BS165" s="22"/>
      <c r="BT165" s="22"/>
      <c r="BU165" s="22"/>
      <c r="BV165" s="22"/>
      <c r="BW165" s="22"/>
      <c r="BX165" s="22"/>
      <c r="BY165" s="22"/>
      <c r="BZ165" s="22"/>
      <c r="CA165" s="22"/>
      <c r="CB165" s="22"/>
      <c r="CC165" s="22"/>
    </row>
    <row r="166" spans="1:81" x14ac:dyDescent="0.2">
      <c r="A166" s="22"/>
      <c r="B166" s="22"/>
      <c r="C166" s="22"/>
      <c r="D166" s="22"/>
      <c r="E166" s="22"/>
      <c r="F166" s="22"/>
      <c r="G166" s="22"/>
      <c r="H166" s="22"/>
      <c r="I166" s="22"/>
      <c r="J166" s="177"/>
      <c r="K166" s="177"/>
      <c r="L166" s="22"/>
      <c r="M166" s="22"/>
      <c r="N166" s="22"/>
      <c r="O166" s="22"/>
      <c r="P166" s="22"/>
      <c r="Q166" s="22"/>
      <c r="R166" s="22"/>
      <c r="S166" s="22"/>
      <c r="Z166" s="22"/>
      <c r="AA166" s="22"/>
      <c r="AB166" s="22"/>
      <c r="AC166" s="22"/>
      <c r="AD166" s="22"/>
      <c r="AE166" s="22"/>
      <c r="AF166" s="22"/>
      <c r="AG166" s="22"/>
      <c r="AH166" s="22"/>
      <c r="AI166" s="22"/>
      <c r="AL166" s="22"/>
      <c r="AM166" s="22"/>
      <c r="AN166" s="22"/>
      <c r="AO166" s="22"/>
      <c r="AP166" s="22"/>
      <c r="AQ166" s="22"/>
      <c r="AR166" s="22"/>
      <c r="AS166" s="22"/>
      <c r="AT166" s="22"/>
      <c r="AU166" s="22"/>
      <c r="AV166" s="22"/>
      <c r="AW166" s="22"/>
      <c r="AX166" s="22"/>
      <c r="AY166" s="22"/>
      <c r="AZ166" s="22"/>
      <c r="BA166" s="22"/>
      <c r="BB166" s="22"/>
      <c r="BC166" s="22"/>
      <c r="BD166" s="22"/>
      <c r="BE166" s="22"/>
      <c r="BF166" s="22"/>
      <c r="BG166" s="22"/>
      <c r="BH166" s="22"/>
      <c r="BI166" s="22"/>
      <c r="BJ166" s="22"/>
      <c r="BK166" s="22"/>
      <c r="BL166" s="22"/>
      <c r="BM166" s="22"/>
      <c r="BN166" s="22"/>
      <c r="BO166" s="22"/>
      <c r="BP166" s="22"/>
      <c r="BQ166" s="22"/>
      <c r="BR166" s="22"/>
      <c r="BS166" s="22"/>
      <c r="BT166" s="22"/>
      <c r="BU166" s="22"/>
      <c r="BV166" s="22"/>
      <c r="BW166" s="22"/>
      <c r="BX166" s="22"/>
      <c r="BY166" s="22"/>
      <c r="BZ166" s="22"/>
      <c r="CA166" s="22"/>
      <c r="CB166" s="22"/>
      <c r="CC166" s="22"/>
    </row>
    <row r="167" spans="1:81" x14ac:dyDescent="0.2">
      <c r="A167" s="22"/>
      <c r="B167" s="22"/>
      <c r="C167" s="22"/>
      <c r="D167" s="22"/>
      <c r="E167" s="22"/>
      <c r="F167" s="22"/>
      <c r="G167" s="22"/>
      <c r="H167" s="22"/>
      <c r="I167" s="22"/>
      <c r="J167" s="177"/>
      <c r="K167" s="177"/>
      <c r="L167" s="22"/>
      <c r="M167" s="22"/>
      <c r="N167" s="22"/>
      <c r="O167" s="22"/>
      <c r="P167" s="22"/>
      <c r="Q167" s="22"/>
      <c r="R167" s="22"/>
      <c r="S167" s="22"/>
      <c r="Z167" s="22"/>
      <c r="AA167" s="22"/>
      <c r="AB167" s="22"/>
      <c r="AC167" s="22"/>
      <c r="AD167" s="22"/>
      <c r="AE167" s="22"/>
      <c r="AF167" s="22"/>
      <c r="AG167" s="22"/>
      <c r="AH167" s="22"/>
      <c r="AI167" s="22"/>
      <c r="AL167" s="22"/>
      <c r="AM167" s="22"/>
      <c r="AN167" s="22"/>
      <c r="AO167" s="22"/>
      <c r="AP167" s="22"/>
      <c r="AQ167" s="22"/>
      <c r="AR167" s="22"/>
      <c r="AS167" s="22"/>
      <c r="AT167" s="22"/>
      <c r="AU167" s="22"/>
      <c r="AV167" s="22"/>
      <c r="AW167" s="22"/>
      <c r="AX167" s="22"/>
      <c r="AY167" s="22"/>
      <c r="AZ167" s="22"/>
      <c r="BA167" s="22"/>
      <c r="BB167" s="22"/>
      <c r="BC167" s="22"/>
      <c r="BD167" s="22"/>
      <c r="BE167" s="22"/>
      <c r="BF167" s="22"/>
      <c r="BG167" s="22"/>
      <c r="BH167" s="22"/>
      <c r="BI167" s="22"/>
      <c r="BJ167" s="22"/>
      <c r="BK167" s="22"/>
      <c r="BL167" s="22"/>
      <c r="BM167" s="22"/>
      <c r="BN167" s="22"/>
      <c r="BO167" s="22"/>
      <c r="BP167" s="22"/>
      <c r="BQ167" s="22"/>
      <c r="BR167" s="22"/>
      <c r="BS167" s="22"/>
      <c r="BT167" s="22"/>
      <c r="BU167" s="22"/>
      <c r="BV167" s="22"/>
      <c r="BW167" s="22"/>
      <c r="BX167" s="22"/>
      <c r="BY167" s="22"/>
      <c r="BZ167" s="22"/>
      <c r="CA167" s="22"/>
      <c r="CB167" s="22"/>
      <c r="CC167" s="22"/>
    </row>
    <row r="168" spans="1:81" x14ac:dyDescent="0.2">
      <c r="A168" s="22"/>
      <c r="B168" s="22"/>
      <c r="C168" s="22"/>
      <c r="D168" s="22"/>
      <c r="E168" s="22"/>
      <c r="F168" s="22"/>
      <c r="G168" s="22"/>
      <c r="H168" s="22"/>
      <c r="I168" s="22"/>
      <c r="J168" s="177"/>
      <c r="K168" s="177"/>
      <c r="L168" s="22"/>
      <c r="M168" s="22"/>
      <c r="N168" s="22"/>
      <c r="O168" s="22"/>
      <c r="P168" s="22"/>
      <c r="Q168" s="22"/>
      <c r="R168" s="22"/>
      <c r="S168" s="22"/>
      <c r="Z168" s="22"/>
      <c r="AA168" s="22"/>
      <c r="AB168" s="22"/>
      <c r="AC168" s="22"/>
      <c r="AD168" s="22"/>
      <c r="AE168" s="22"/>
      <c r="AF168" s="22"/>
      <c r="AG168" s="22"/>
      <c r="AH168" s="22"/>
      <c r="AI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c r="BG168" s="22"/>
      <c r="BH168" s="22"/>
      <c r="BI168" s="22"/>
      <c r="BJ168" s="22"/>
      <c r="BK168" s="22"/>
      <c r="BL168" s="22"/>
      <c r="BM168" s="22"/>
      <c r="BN168" s="22"/>
      <c r="BO168" s="22"/>
      <c r="BP168" s="22"/>
      <c r="BQ168" s="22"/>
      <c r="BR168" s="22"/>
      <c r="BS168" s="22"/>
      <c r="BT168" s="22"/>
      <c r="BU168" s="22"/>
      <c r="BV168" s="22"/>
      <c r="BW168" s="22"/>
      <c r="BX168" s="22"/>
      <c r="BY168" s="22"/>
      <c r="BZ168" s="22"/>
      <c r="CA168" s="22"/>
      <c r="CB168" s="22"/>
      <c r="CC168" s="22"/>
    </row>
    <row r="169" spans="1:81" x14ac:dyDescent="0.2">
      <c r="A169" s="22"/>
      <c r="B169" s="22"/>
      <c r="C169" s="22"/>
      <c r="D169" s="63"/>
      <c r="E169" s="63"/>
      <c r="F169" s="63"/>
      <c r="G169" s="63"/>
      <c r="H169" s="63"/>
      <c r="I169" s="63"/>
      <c r="J169" s="177"/>
      <c r="K169" s="177"/>
      <c r="L169" s="22"/>
      <c r="M169" s="22"/>
      <c r="N169" s="22"/>
      <c r="O169" s="22"/>
      <c r="P169" s="22"/>
      <c r="Q169" s="22"/>
      <c r="R169" s="22"/>
      <c r="S169" s="22"/>
      <c r="Z169" s="22"/>
      <c r="AA169" s="22"/>
      <c r="AB169" s="22"/>
      <c r="AC169" s="22"/>
      <c r="AD169" s="22"/>
      <c r="AE169" s="22"/>
      <c r="AF169" s="22"/>
      <c r="AG169" s="22"/>
      <c r="AH169" s="22"/>
      <c r="AI169" s="22"/>
      <c r="AL169" s="22"/>
      <c r="AM169" s="22"/>
      <c r="AN169" s="22"/>
      <c r="AO169" s="22"/>
      <c r="AP169" s="22"/>
      <c r="AQ169" s="22"/>
      <c r="AR169" s="22"/>
      <c r="AS169" s="22"/>
      <c r="AT169" s="22"/>
      <c r="AU169" s="22"/>
      <c r="AV169" s="22"/>
      <c r="AW169" s="22"/>
      <c r="AX169" s="22"/>
      <c r="AY169" s="22"/>
      <c r="AZ169" s="22"/>
      <c r="BA169" s="22"/>
      <c r="BB169" s="22"/>
      <c r="BC169" s="22"/>
      <c r="BD169" s="22"/>
      <c r="BE169" s="22"/>
      <c r="BF169" s="22"/>
      <c r="BG169" s="22"/>
      <c r="BH169" s="22"/>
      <c r="BI169" s="22"/>
      <c r="BJ169" s="22"/>
      <c r="BK169" s="22"/>
      <c r="BL169" s="22"/>
      <c r="BM169" s="22"/>
      <c r="BN169" s="22"/>
      <c r="BO169" s="22"/>
      <c r="BP169" s="22"/>
      <c r="BQ169" s="22"/>
      <c r="BR169" s="22"/>
      <c r="BS169" s="22"/>
      <c r="BT169" s="22"/>
      <c r="BU169" s="22"/>
      <c r="BV169" s="22"/>
      <c r="BW169" s="22"/>
      <c r="BX169" s="22"/>
      <c r="BY169" s="22"/>
      <c r="BZ169" s="22"/>
      <c r="CA169" s="22"/>
      <c r="CB169" s="22"/>
      <c r="CC169" s="22"/>
    </row>
    <row r="170" spans="1:81" x14ac:dyDescent="0.2">
      <c r="A170" s="22"/>
      <c r="B170" s="22"/>
      <c r="C170" s="22"/>
      <c r="D170" s="22"/>
      <c r="E170" s="22"/>
      <c r="F170" s="22"/>
      <c r="G170" s="22"/>
      <c r="H170" s="22"/>
      <c r="I170" s="22"/>
      <c r="J170" s="177"/>
      <c r="K170" s="177"/>
      <c r="L170" s="22"/>
      <c r="M170" s="22"/>
      <c r="N170" s="22"/>
      <c r="O170" s="22"/>
      <c r="P170" s="22"/>
      <c r="Q170" s="22"/>
      <c r="R170" s="22"/>
      <c r="S170" s="22"/>
      <c r="Z170" s="22"/>
      <c r="AA170" s="22"/>
      <c r="AB170" s="22"/>
      <c r="AC170" s="22"/>
      <c r="AD170" s="22"/>
      <c r="AE170" s="22"/>
      <c r="AF170" s="22"/>
      <c r="AG170" s="22"/>
      <c r="AH170" s="22"/>
      <c r="AI170" s="22"/>
      <c r="AL170" s="22"/>
      <c r="AM170" s="22"/>
      <c r="AN170" s="22"/>
      <c r="AO170" s="22"/>
      <c r="AP170" s="22"/>
      <c r="AQ170" s="22"/>
      <c r="AR170" s="22"/>
      <c r="AS170" s="22"/>
      <c r="AT170" s="22"/>
      <c r="AU170" s="22"/>
      <c r="AV170" s="22"/>
      <c r="AW170" s="22"/>
      <c r="AX170" s="22"/>
      <c r="AY170" s="22"/>
      <c r="AZ170" s="22"/>
      <c r="BA170" s="22"/>
      <c r="BB170" s="22"/>
      <c r="BC170" s="22"/>
      <c r="BD170" s="22"/>
      <c r="BE170" s="22"/>
      <c r="BF170" s="22"/>
      <c r="BG170" s="22"/>
      <c r="BH170" s="22"/>
      <c r="BI170" s="22"/>
      <c r="BJ170" s="22"/>
      <c r="BK170" s="22"/>
      <c r="BL170" s="22"/>
      <c r="BM170" s="22"/>
      <c r="BN170" s="22"/>
      <c r="BO170" s="22"/>
      <c r="BP170" s="22"/>
      <c r="BQ170" s="22"/>
      <c r="BR170" s="22"/>
      <c r="BS170" s="22"/>
      <c r="BT170" s="22"/>
      <c r="BU170" s="22"/>
      <c r="BV170" s="22"/>
      <c r="BW170" s="22"/>
      <c r="BX170" s="22"/>
      <c r="BY170" s="22"/>
      <c r="BZ170" s="22"/>
      <c r="CA170" s="22"/>
      <c r="CB170" s="22"/>
      <c r="CC170" s="22"/>
    </row>
    <row r="171" spans="1:81" x14ac:dyDescent="0.2">
      <c r="A171" s="22"/>
      <c r="B171" s="22"/>
      <c r="C171" s="22"/>
      <c r="D171" s="22"/>
      <c r="E171" s="22"/>
      <c r="F171" s="22"/>
      <c r="G171" s="22"/>
      <c r="H171" s="22"/>
      <c r="I171" s="22"/>
      <c r="J171" s="177"/>
      <c r="K171" s="177"/>
      <c r="L171" s="22"/>
      <c r="M171" s="22"/>
      <c r="N171" s="22"/>
      <c r="O171" s="22"/>
      <c r="P171" s="22"/>
      <c r="Q171" s="22"/>
      <c r="R171" s="22"/>
      <c r="S171" s="22"/>
      <c r="Z171" s="22"/>
      <c r="AA171" s="22"/>
      <c r="AB171" s="22"/>
      <c r="AC171" s="22"/>
      <c r="AD171" s="22"/>
      <c r="AE171" s="22"/>
      <c r="AF171" s="22"/>
      <c r="AG171" s="22"/>
      <c r="AH171" s="22"/>
      <c r="AI171" s="22"/>
      <c r="AL171" s="22"/>
      <c r="AM171" s="22"/>
      <c r="AN171" s="22"/>
      <c r="AO171" s="22"/>
      <c r="AP171" s="22"/>
      <c r="AQ171" s="22"/>
      <c r="AR171" s="22"/>
      <c r="AS171" s="22"/>
      <c r="AT171" s="22"/>
      <c r="AU171" s="22"/>
      <c r="AV171" s="22"/>
      <c r="AW171" s="22"/>
      <c r="AX171" s="22"/>
      <c r="AY171" s="22"/>
      <c r="AZ171" s="22"/>
      <c r="BA171" s="22"/>
      <c r="BB171" s="22"/>
      <c r="BC171" s="22"/>
      <c r="BD171" s="22"/>
      <c r="BE171" s="22"/>
      <c r="BF171" s="22"/>
      <c r="BG171" s="22"/>
      <c r="BH171" s="22"/>
      <c r="BI171" s="22"/>
      <c r="BJ171" s="22"/>
      <c r="BK171" s="22"/>
      <c r="BL171" s="22"/>
      <c r="BM171" s="22"/>
      <c r="BN171" s="22"/>
      <c r="BO171" s="22"/>
      <c r="BP171" s="22"/>
      <c r="BQ171" s="22"/>
      <c r="BR171" s="22"/>
      <c r="BS171" s="22"/>
      <c r="BT171" s="22"/>
      <c r="BU171" s="22"/>
      <c r="BV171" s="22"/>
      <c r="BW171" s="22"/>
      <c r="BX171" s="22"/>
      <c r="BY171" s="22"/>
      <c r="BZ171" s="22"/>
      <c r="CA171" s="22"/>
      <c r="CB171" s="22"/>
      <c r="CC171" s="22"/>
    </row>
    <row r="172" spans="1:81" x14ac:dyDescent="0.2">
      <c r="A172" s="36"/>
      <c r="B172" s="22"/>
      <c r="C172" s="22"/>
      <c r="D172" s="22"/>
      <c r="E172" s="22"/>
      <c r="F172" s="22"/>
      <c r="G172" s="22"/>
      <c r="H172" s="22"/>
      <c r="I172" s="22"/>
      <c r="J172" s="177"/>
      <c r="K172" s="177"/>
      <c r="L172" s="22"/>
      <c r="M172" s="22"/>
      <c r="N172" s="22"/>
      <c r="O172" s="22"/>
      <c r="P172" s="22"/>
      <c r="Q172" s="22"/>
      <c r="R172" s="22"/>
      <c r="S172" s="22"/>
      <c r="Z172" s="22"/>
      <c r="AA172" s="22"/>
      <c r="AB172" s="22"/>
      <c r="AC172" s="22"/>
      <c r="AD172" s="22"/>
      <c r="AE172" s="22"/>
      <c r="AF172" s="22"/>
      <c r="AG172" s="22"/>
      <c r="AH172" s="22"/>
      <c r="AI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c r="BM172" s="22"/>
      <c r="BN172" s="22"/>
      <c r="BO172" s="22"/>
      <c r="BP172" s="22"/>
      <c r="BQ172" s="22"/>
      <c r="BR172" s="22"/>
      <c r="BS172" s="22"/>
      <c r="BT172" s="22"/>
      <c r="BU172" s="22"/>
      <c r="BV172" s="22"/>
      <c r="BW172" s="22"/>
      <c r="BX172" s="22"/>
      <c r="BY172" s="22"/>
      <c r="BZ172" s="22"/>
      <c r="CA172" s="22"/>
      <c r="CB172" s="22"/>
      <c r="CC172" s="22"/>
    </row>
    <row r="173" spans="1:81" x14ac:dyDescent="0.2">
      <c r="A173" s="36"/>
      <c r="B173" s="22"/>
      <c r="C173" s="22"/>
      <c r="D173" s="22"/>
      <c r="E173" s="22"/>
      <c r="F173" s="22"/>
      <c r="G173" s="22"/>
      <c r="H173" s="22"/>
      <c r="I173" s="22"/>
      <c r="J173" s="177"/>
      <c r="K173" s="177"/>
      <c r="L173" s="22"/>
      <c r="M173" s="22"/>
      <c r="N173" s="22"/>
      <c r="O173" s="22"/>
      <c r="P173" s="22"/>
      <c r="Q173" s="22"/>
      <c r="R173" s="22"/>
      <c r="S173" s="22"/>
      <c r="Z173" s="22"/>
      <c r="AA173" s="22"/>
      <c r="AB173" s="22"/>
      <c r="AC173" s="22"/>
      <c r="AD173" s="22"/>
      <c r="AE173" s="22"/>
      <c r="AF173" s="22"/>
      <c r="AG173" s="22"/>
      <c r="AH173" s="22"/>
      <c r="AI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22"/>
      <c r="BM173" s="22"/>
      <c r="BN173" s="22"/>
      <c r="BO173" s="22"/>
      <c r="BP173" s="22"/>
      <c r="BQ173" s="22"/>
      <c r="BR173" s="22"/>
      <c r="BS173" s="22"/>
      <c r="BT173" s="22"/>
      <c r="BU173" s="22"/>
      <c r="BV173" s="22"/>
      <c r="BW173" s="22"/>
      <c r="BX173" s="22"/>
      <c r="BY173" s="22"/>
      <c r="BZ173" s="22"/>
      <c r="CA173" s="22"/>
      <c r="CB173" s="22"/>
      <c r="CC173" s="22"/>
    </row>
    <row r="174" spans="1:81" x14ac:dyDescent="0.2">
      <c r="A174" s="36"/>
      <c r="B174" s="22"/>
      <c r="C174" s="22"/>
      <c r="D174" s="22"/>
      <c r="E174" s="22"/>
      <c r="F174" s="22"/>
      <c r="G174" s="22"/>
      <c r="H174" s="22"/>
      <c r="I174" s="22"/>
      <c r="J174" s="177"/>
      <c r="K174" s="177"/>
      <c r="L174" s="22"/>
      <c r="M174" s="22"/>
      <c r="N174" s="22"/>
      <c r="O174" s="22"/>
      <c r="P174" s="22"/>
      <c r="Q174" s="22"/>
      <c r="R174" s="22"/>
      <c r="S174" s="22"/>
      <c r="Z174" s="22"/>
      <c r="AA174" s="22"/>
      <c r="AB174" s="22"/>
      <c r="AC174" s="22"/>
      <c r="AD174" s="22"/>
      <c r="AE174" s="22"/>
      <c r="AF174" s="22"/>
      <c r="AG174" s="22"/>
      <c r="AH174" s="22"/>
      <c r="AI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c r="BQ174" s="22"/>
      <c r="BR174" s="22"/>
      <c r="BS174" s="22"/>
      <c r="BT174" s="22"/>
      <c r="BU174" s="22"/>
      <c r="BV174" s="22"/>
      <c r="BW174" s="22"/>
      <c r="BX174" s="22"/>
      <c r="BY174" s="22"/>
      <c r="BZ174" s="22"/>
      <c r="CA174" s="22"/>
      <c r="CB174" s="22"/>
      <c r="CC174" s="22"/>
    </row>
    <row r="175" spans="1:81" x14ac:dyDescent="0.2">
      <c r="A175" s="36"/>
      <c r="B175" s="22"/>
      <c r="C175" s="22"/>
      <c r="D175" s="22"/>
      <c r="E175" s="22"/>
      <c r="F175" s="22"/>
      <c r="G175" s="22"/>
      <c r="H175" s="22"/>
      <c r="I175" s="22"/>
      <c r="J175" s="177"/>
      <c r="K175" s="177"/>
      <c r="L175" s="22"/>
      <c r="M175" s="22"/>
      <c r="N175" s="22"/>
      <c r="O175" s="22"/>
      <c r="P175" s="22"/>
      <c r="Q175" s="22"/>
      <c r="R175" s="22"/>
      <c r="S175" s="22"/>
      <c r="Z175" s="22"/>
      <c r="AA175" s="22"/>
      <c r="AB175" s="22"/>
      <c r="AC175" s="22"/>
      <c r="AD175" s="22"/>
      <c r="AE175" s="22"/>
      <c r="AF175" s="22"/>
      <c r="AG175" s="22"/>
      <c r="AH175" s="22"/>
      <c r="AI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c r="BM175" s="22"/>
      <c r="BN175" s="22"/>
      <c r="BO175" s="22"/>
      <c r="BP175" s="22"/>
      <c r="BQ175" s="22"/>
      <c r="BR175" s="22"/>
      <c r="BS175" s="22"/>
      <c r="BT175" s="22"/>
      <c r="BU175" s="22"/>
      <c r="BV175" s="22"/>
      <c r="BW175" s="22"/>
      <c r="BX175" s="22"/>
      <c r="BY175" s="22"/>
      <c r="BZ175" s="22"/>
      <c r="CA175" s="22"/>
      <c r="CB175" s="22"/>
      <c r="CC175" s="22"/>
    </row>
    <row r="176" spans="1:81" x14ac:dyDescent="0.2">
      <c r="A176" s="36"/>
      <c r="B176" s="22"/>
      <c r="C176" s="22"/>
      <c r="D176" s="22"/>
      <c r="E176" s="22"/>
      <c r="F176" s="22"/>
      <c r="G176" s="22"/>
      <c r="H176" s="22"/>
      <c r="I176" s="22"/>
      <c r="J176" s="177"/>
      <c r="K176" s="177"/>
      <c r="L176" s="22"/>
      <c r="M176" s="22"/>
      <c r="N176" s="22"/>
      <c r="O176" s="22"/>
      <c r="P176" s="22"/>
      <c r="Q176" s="22"/>
      <c r="R176" s="22"/>
      <c r="S176" s="22"/>
      <c r="Z176" s="22"/>
      <c r="AA176" s="22"/>
      <c r="AB176" s="22"/>
      <c r="AC176" s="22"/>
      <c r="AD176" s="22"/>
      <c r="AE176" s="22"/>
      <c r="AF176" s="22"/>
      <c r="AG176" s="22"/>
      <c r="AH176" s="22"/>
      <c r="AI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22"/>
      <c r="BP176" s="22"/>
      <c r="BQ176" s="22"/>
      <c r="BR176" s="22"/>
      <c r="BS176" s="22"/>
      <c r="BT176" s="22"/>
      <c r="BU176" s="22"/>
      <c r="BV176" s="22"/>
      <c r="BW176" s="22"/>
      <c r="BX176" s="22"/>
      <c r="BY176" s="22"/>
      <c r="BZ176" s="22"/>
      <c r="CA176" s="22"/>
      <c r="CB176" s="22"/>
      <c r="CC176" s="22"/>
    </row>
    <row r="177" spans="1:81" x14ac:dyDescent="0.2">
      <c r="A177" s="36"/>
      <c r="B177" s="22"/>
      <c r="C177" s="22"/>
      <c r="D177" s="22"/>
      <c r="E177" s="22"/>
      <c r="F177" s="22"/>
      <c r="G177" s="22"/>
      <c r="H177" s="22"/>
      <c r="I177" s="22"/>
      <c r="J177" s="177"/>
      <c r="K177" s="177"/>
      <c r="L177" s="22"/>
      <c r="M177" s="22"/>
      <c r="N177" s="22"/>
      <c r="O177" s="22"/>
      <c r="P177" s="22"/>
      <c r="Q177" s="22"/>
      <c r="R177" s="22"/>
      <c r="S177" s="22"/>
      <c r="Z177" s="22"/>
      <c r="AA177" s="22"/>
      <c r="AB177" s="22"/>
      <c r="AC177" s="22"/>
      <c r="AD177" s="22"/>
      <c r="AE177" s="22"/>
      <c r="AF177" s="22"/>
      <c r="AG177" s="22"/>
      <c r="AH177" s="22"/>
      <c r="AI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c r="BM177" s="22"/>
      <c r="BN177" s="22"/>
      <c r="BO177" s="22"/>
      <c r="BP177" s="22"/>
      <c r="BQ177" s="22"/>
      <c r="BR177" s="22"/>
      <c r="BS177" s="22"/>
      <c r="BT177" s="22"/>
      <c r="BU177" s="22"/>
      <c r="BV177" s="22"/>
      <c r="BW177" s="22"/>
      <c r="BX177" s="22"/>
      <c r="BY177" s="22"/>
      <c r="BZ177" s="22"/>
      <c r="CA177" s="22"/>
      <c r="CB177" s="22"/>
      <c r="CC177" s="22"/>
    </row>
    <row r="178" spans="1:81" x14ac:dyDescent="0.2">
      <c r="A178" s="36"/>
      <c r="B178" s="22"/>
      <c r="C178" s="22"/>
      <c r="D178" s="22"/>
      <c r="E178" s="22"/>
      <c r="F178" s="22"/>
      <c r="G178" s="22"/>
      <c r="H178" s="22"/>
      <c r="I178" s="22"/>
      <c r="J178" s="177"/>
      <c r="K178" s="177"/>
      <c r="L178" s="22"/>
      <c r="M178" s="22"/>
      <c r="N178" s="22"/>
      <c r="O178" s="22"/>
      <c r="P178" s="22"/>
      <c r="Q178" s="22"/>
      <c r="R178" s="22"/>
      <c r="S178" s="22"/>
      <c r="Z178" s="22"/>
      <c r="AA178" s="22"/>
      <c r="AB178" s="22"/>
      <c r="AC178" s="22"/>
      <c r="AD178" s="22"/>
      <c r="AE178" s="22"/>
      <c r="AF178" s="22"/>
      <c r="AG178" s="22"/>
      <c r="AH178" s="22"/>
      <c r="AI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c r="BG178" s="22"/>
      <c r="BH178" s="22"/>
      <c r="BI178" s="22"/>
      <c r="BJ178" s="22"/>
      <c r="BK178" s="22"/>
      <c r="BL178" s="22"/>
      <c r="BM178" s="22"/>
      <c r="BN178" s="22"/>
      <c r="BO178" s="22"/>
      <c r="BP178" s="22"/>
      <c r="BQ178" s="22"/>
      <c r="BR178" s="22"/>
      <c r="BS178" s="22"/>
      <c r="BT178" s="22"/>
      <c r="BU178" s="22"/>
      <c r="BV178" s="22"/>
      <c r="BW178" s="22"/>
      <c r="BX178" s="22"/>
      <c r="BY178" s="22"/>
      <c r="BZ178" s="22"/>
      <c r="CA178" s="22"/>
      <c r="CB178" s="22"/>
      <c r="CC178" s="22"/>
    </row>
    <row r="179" spans="1:81" x14ac:dyDescent="0.2">
      <c r="A179" s="36"/>
      <c r="B179" s="22"/>
      <c r="C179" s="22"/>
      <c r="D179" s="22"/>
      <c r="E179" s="22"/>
      <c r="F179" s="22"/>
      <c r="G179" s="22"/>
      <c r="H179" s="22"/>
      <c r="I179" s="22"/>
      <c r="J179" s="177"/>
      <c r="K179" s="177"/>
      <c r="L179" s="22"/>
      <c r="M179" s="22"/>
      <c r="N179" s="22"/>
      <c r="O179" s="22"/>
      <c r="P179" s="22"/>
      <c r="Q179" s="22"/>
      <c r="R179" s="22"/>
      <c r="S179" s="22"/>
      <c r="Z179" s="22"/>
      <c r="AA179" s="22"/>
      <c r="AB179" s="22"/>
      <c r="AC179" s="22"/>
      <c r="AD179" s="22"/>
      <c r="AE179" s="22"/>
      <c r="AF179" s="22"/>
      <c r="AG179" s="22"/>
      <c r="AH179" s="22"/>
      <c r="AI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c r="BG179" s="22"/>
      <c r="BH179" s="22"/>
      <c r="BI179" s="22"/>
      <c r="BJ179" s="22"/>
      <c r="BK179" s="22"/>
      <c r="BL179" s="22"/>
      <c r="BM179" s="22"/>
      <c r="BN179" s="22"/>
      <c r="BO179" s="22"/>
      <c r="BP179" s="22"/>
      <c r="BQ179" s="22"/>
      <c r="BR179" s="22"/>
      <c r="BS179" s="22"/>
      <c r="BT179" s="22"/>
      <c r="BU179" s="22"/>
      <c r="BV179" s="22"/>
      <c r="BW179" s="22"/>
      <c r="BX179" s="22"/>
      <c r="BY179" s="22"/>
      <c r="BZ179" s="22"/>
      <c r="CA179" s="22"/>
      <c r="CB179" s="22"/>
      <c r="CC179" s="22"/>
    </row>
    <row r="180" spans="1:81" x14ac:dyDescent="0.2">
      <c r="A180" s="36"/>
      <c r="B180" s="22"/>
      <c r="C180" s="22"/>
      <c r="D180" s="22"/>
      <c r="E180" s="22"/>
      <c r="F180" s="22"/>
      <c r="G180" s="22"/>
      <c r="H180" s="22"/>
      <c r="I180" s="22"/>
      <c r="J180" s="177"/>
      <c r="K180" s="177"/>
      <c r="L180" s="22"/>
      <c r="M180" s="22"/>
      <c r="N180" s="22"/>
      <c r="O180" s="22"/>
      <c r="P180" s="22"/>
      <c r="Q180" s="22"/>
      <c r="R180" s="22"/>
      <c r="S180" s="22"/>
      <c r="Z180" s="22"/>
      <c r="AA180" s="22"/>
      <c r="AB180" s="22"/>
      <c r="AC180" s="22"/>
      <c r="AD180" s="22"/>
      <c r="AE180" s="22"/>
      <c r="AF180" s="22"/>
      <c r="AG180" s="22"/>
      <c r="AH180" s="22"/>
      <c r="AI180" s="22"/>
      <c r="AL180" s="22"/>
      <c r="AM180" s="22"/>
      <c r="AN180" s="22"/>
      <c r="AO180" s="22"/>
      <c r="AP180" s="22"/>
      <c r="AQ180" s="22"/>
      <c r="AR180" s="22"/>
      <c r="AS180" s="22"/>
      <c r="AT180" s="22"/>
      <c r="AU180" s="22"/>
      <c r="AV180" s="22"/>
      <c r="AW180" s="22"/>
      <c r="AX180" s="22"/>
      <c r="AY180" s="22"/>
      <c r="AZ180" s="22"/>
      <c r="BA180" s="22"/>
      <c r="BB180" s="22"/>
      <c r="BC180" s="22"/>
      <c r="BD180" s="22"/>
      <c r="BE180" s="22"/>
      <c r="BF180" s="22"/>
      <c r="BG180" s="22"/>
      <c r="BH180" s="22"/>
      <c r="BI180" s="22"/>
      <c r="BJ180" s="22"/>
      <c r="BK180" s="22"/>
      <c r="BL180" s="22"/>
      <c r="BM180" s="22"/>
      <c r="BN180" s="22"/>
      <c r="BO180" s="22"/>
      <c r="BP180" s="22"/>
      <c r="BQ180" s="22"/>
      <c r="BR180" s="22"/>
      <c r="BS180" s="22"/>
      <c r="BT180" s="22"/>
      <c r="BU180" s="22"/>
      <c r="BV180" s="22"/>
      <c r="BW180" s="22"/>
      <c r="BX180" s="22"/>
      <c r="BY180" s="22"/>
      <c r="BZ180" s="22"/>
      <c r="CA180" s="22"/>
      <c r="CB180" s="22"/>
      <c r="CC180" s="22"/>
    </row>
    <row r="181" spans="1:81" x14ac:dyDescent="0.2">
      <c r="A181" s="36"/>
      <c r="B181" s="22"/>
      <c r="C181" s="22"/>
      <c r="D181" s="22"/>
      <c r="E181" s="22"/>
      <c r="F181" s="22"/>
      <c r="G181" s="22"/>
      <c r="H181" s="22"/>
      <c r="I181" s="22"/>
      <c r="J181" s="177"/>
      <c r="K181" s="177"/>
      <c r="L181" s="22"/>
      <c r="M181" s="22"/>
      <c r="N181" s="22"/>
      <c r="O181" s="22"/>
      <c r="P181" s="22"/>
      <c r="Q181" s="22"/>
      <c r="R181" s="22"/>
      <c r="S181" s="22"/>
      <c r="Z181" s="22"/>
      <c r="AA181" s="22"/>
      <c r="AB181" s="22"/>
      <c r="AC181" s="22"/>
      <c r="AD181" s="22"/>
      <c r="AE181" s="22"/>
      <c r="AF181" s="22"/>
      <c r="AG181" s="22"/>
      <c r="AH181" s="22"/>
      <c r="AI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c r="BM181" s="22"/>
      <c r="BN181" s="22"/>
      <c r="BO181" s="22"/>
      <c r="BP181" s="22"/>
      <c r="BQ181" s="22"/>
      <c r="BR181" s="22"/>
      <c r="BS181" s="22"/>
      <c r="BT181" s="22"/>
      <c r="BU181" s="22"/>
      <c r="BV181" s="22"/>
      <c r="BW181" s="22"/>
      <c r="BX181" s="22"/>
      <c r="BY181" s="22"/>
      <c r="BZ181" s="22"/>
      <c r="CA181" s="22"/>
      <c r="CB181" s="22"/>
      <c r="CC181" s="22"/>
    </row>
    <row r="182" spans="1:81" x14ac:dyDescent="0.2">
      <c r="A182" s="36"/>
      <c r="B182" s="22"/>
      <c r="C182" s="22"/>
      <c r="D182" s="22"/>
      <c r="E182" s="22"/>
      <c r="F182" s="22"/>
      <c r="G182" s="22"/>
      <c r="H182" s="22"/>
      <c r="I182" s="22"/>
      <c r="J182" s="177"/>
      <c r="K182" s="177"/>
      <c r="L182" s="22"/>
      <c r="M182" s="22"/>
      <c r="N182" s="22"/>
      <c r="O182" s="22"/>
      <c r="P182" s="22"/>
      <c r="Q182" s="22"/>
      <c r="R182" s="22"/>
      <c r="S182" s="22"/>
      <c r="Z182" s="22"/>
      <c r="AA182" s="22"/>
      <c r="AB182" s="22"/>
      <c r="AC182" s="22"/>
      <c r="AD182" s="22"/>
      <c r="AE182" s="22"/>
      <c r="AF182" s="22"/>
      <c r="AG182" s="22"/>
      <c r="AH182" s="22"/>
      <c r="AI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c r="BG182" s="22"/>
      <c r="BH182" s="22"/>
      <c r="BI182" s="22"/>
      <c r="BJ182" s="22"/>
      <c r="BK182" s="22"/>
      <c r="BL182" s="22"/>
      <c r="BM182" s="22"/>
      <c r="BN182" s="22"/>
      <c r="BO182" s="22"/>
      <c r="BP182" s="22"/>
      <c r="BQ182" s="22"/>
      <c r="BR182" s="22"/>
      <c r="BS182" s="22"/>
      <c r="BT182" s="22"/>
      <c r="BU182" s="22"/>
      <c r="BV182" s="22"/>
      <c r="BW182" s="22"/>
      <c r="BX182" s="22"/>
      <c r="BY182" s="22"/>
      <c r="BZ182" s="22"/>
      <c r="CA182" s="22"/>
      <c r="CB182" s="22"/>
      <c r="CC182" s="22"/>
    </row>
    <row r="183" spans="1:81" x14ac:dyDescent="0.2">
      <c r="A183" s="36"/>
      <c r="B183" s="22"/>
      <c r="C183" s="22"/>
      <c r="D183" s="22"/>
      <c r="E183" s="22"/>
      <c r="F183" s="22"/>
      <c r="G183" s="22"/>
      <c r="H183" s="22"/>
      <c r="I183" s="22"/>
      <c r="J183" s="177"/>
      <c r="K183" s="177"/>
      <c r="L183" s="22"/>
      <c r="M183" s="22"/>
      <c r="N183" s="22"/>
      <c r="O183" s="22"/>
      <c r="P183" s="22"/>
      <c r="Q183" s="22"/>
      <c r="R183" s="22"/>
      <c r="S183" s="22"/>
      <c r="Z183" s="22"/>
      <c r="AA183" s="22"/>
      <c r="AB183" s="22"/>
      <c r="AC183" s="22"/>
      <c r="AD183" s="22"/>
      <c r="AE183" s="22"/>
      <c r="AF183" s="22"/>
      <c r="AG183" s="22"/>
      <c r="AH183" s="22"/>
      <c r="AI183" s="22"/>
      <c r="AL183" s="22"/>
      <c r="AM183" s="22"/>
      <c r="AN183" s="22"/>
      <c r="AO183" s="22"/>
      <c r="AP183" s="22"/>
      <c r="AQ183" s="22"/>
      <c r="AR183" s="22"/>
      <c r="AS183" s="22"/>
      <c r="AT183" s="22"/>
      <c r="AU183" s="22"/>
      <c r="AV183" s="22"/>
      <c r="AW183" s="22"/>
      <c r="AX183" s="22"/>
      <c r="AY183" s="22"/>
      <c r="AZ183" s="22"/>
      <c r="BA183" s="22"/>
      <c r="BB183" s="22"/>
      <c r="BC183" s="22"/>
      <c r="BD183" s="22"/>
      <c r="BE183" s="22"/>
      <c r="BF183" s="22"/>
      <c r="BG183" s="22"/>
      <c r="BH183" s="22"/>
      <c r="BI183" s="22"/>
      <c r="BJ183" s="22"/>
      <c r="BK183" s="22"/>
      <c r="BL183" s="22"/>
      <c r="BM183" s="22"/>
      <c r="BN183" s="22"/>
      <c r="BO183" s="22"/>
      <c r="BP183" s="22"/>
      <c r="BQ183" s="22"/>
      <c r="BR183" s="22"/>
      <c r="BS183" s="22"/>
      <c r="BT183" s="22"/>
      <c r="BU183" s="22"/>
      <c r="BV183" s="22"/>
      <c r="BW183" s="22"/>
      <c r="BX183" s="22"/>
      <c r="BY183" s="22"/>
      <c r="BZ183" s="22"/>
      <c r="CA183" s="22"/>
      <c r="CB183" s="22"/>
      <c r="CC183" s="22"/>
    </row>
    <row r="184" spans="1:81" x14ac:dyDescent="0.2">
      <c r="A184" s="36"/>
      <c r="B184" s="22"/>
      <c r="C184" s="22"/>
      <c r="D184" s="22"/>
      <c r="E184" s="22"/>
      <c r="F184" s="22"/>
      <c r="G184" s="22"/>
      <c r="H184" s="22"/>
      <c r="I184" s="22"/>
      <c r="J184" s="177"/>
      <c r="K184" s="177"/>
      <c r="L184" s="22"/>
      <c r="M184" s="22"/>
      <c r="N184" s="22"/>
      <c r="O184" s="22"/>
      <c r="P184" s="22"/>
      <c r="Q184" s="22"/>
      <c r="R184" s="22"/>
      <c r="S184" s="22"/>
      <c r="Z184" s="22"/>
      <c r="AA184" s="22"/>
      <c r="AB184" s="22"/>
      <c r="AC184" s="22"/>
      <c r="AD184" s="22"/>
      <c r="AE184" s="22"/>
      <c r="AF184" s="22"/>
      <c r="AG184" s="22"/>
      <c r="AH184" s="22"/>
      <c r="AI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c r="BG184" s="22"/>
      <c r="BH184" s="22"/>
      <c r="BI184" s="22"/>
      <c r="BJ184" s="22"/>
      <c r="BK184" s="22"/>
      <c r="BL184" s="22"/>
      <c r="BM184" s="22"/>
      <c r="BN184" s="22"/>
      <c r="BO184" s="22"/>
      <c r="BP184" s="22"/>
      <c r="BQ184" s="22"/>
      <c r="BR184" s="22"/>
      <c r="BS184" s="22"/>
      <c r="BT184" s="22"/>
      <c r="BU184" s="22"/>
      <c r="BV184" s="22"/>
      <c r="BW184" s="22"/>
      <c r="BX184" s="22"/>
      <c r="BY184" s="22"/>
      <c r="BZ184" s="22"/>
      <c r="CA184" s="22"/>
      <c r="CB184" s="22"/>
      <c r="CC184" s="22"/>
    </row>
    <row r="185" spans="1:81" x14ac:dyDescent="0.2">
      <c r="A185" s="36"/>
      <c r="B185" s="22"/>
      <c r="C185" s="22"/>
      <c r="D185" s="22"/>
      <c r="E185" s="22"/>
      <c r="F185" s="22"/>
      <c r="G185" s="22"/>
      <c r="H185" s="22"/>
      <c r="I185" s="22"/>
      <c r="J185" s="177"/>
      <c r="K185" s="177"/>
      <c r="L185" s="22"/>
      <c r="M185" s="22"/>
      <c r="N185" s="22"/>
      <c r="O185" s="22"/>
      <c r="P185" s="22"/>
      <c r="Q185" s="22"/>
      <c r="R185" s="22"/>
      <c r="S185" s="22"/>
      <c r="Z185" s="22"/>
      <c r="AA185" s="22"/>
      <c r="AB185" s="22"/>
      <c r="AC185" s="22"/>
      <c r="AD185" s="22"/>
      <c r="AE185" s="22"/>
      <c r="AF185" s="22"/>
      <c r="AG185" s="22"/>
      <c r="AH185" s="22"/>
      <c r="AI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c r="BM185" s="22"/>
      <c r="BN185" s="22"/>
      <c r="BO185" s="22"/>
      <c r="BP185" s="22"/>
      <c r="BQ185" s="22"/>
      <c r="BR185" s="22"/>
      <c r="BS185" s="22"/>
      <c r="BT185" s="22"/>
      <c r="BU185" s="22"/>
      <c r="BV185" s="22"/>
      <c r="BW185" s="22"/>
      <c r="BX185" s="22"/>
      <c r="BY185" s="22"/>
      <c r="BZ185" s="22"/>
      <c r="CA185" s="22"/>
      <c r="CB185" s="22"/>
      <c r="CC185" s="22"/>
    </row>
    <row r="186" spans="1:81" x14ac:dyDescent="0.2">
      <c r="A186" s="36"/>
      <c r="B186" s="22"/>
      <c r="C186" s="22"/>
      <c r="D186" s="22"/>
      <c r="E186" s="22"/>
      <c r="F186" s="22"/>
      <c r="G186" s="22"/>
      <c r="H186" s="22"/>
      <c r="I186" s="22"/>
      <c r="J186" s="177"/>
      <c r="K186" s="177"/>
      <c r="L186" s="22"/>
      <c r="M186" s="22"/>
      <c r="N186" s="22"/>
      <c r="O186" s="22"/>
      <c r="P186" s="22"/>
      <c r="Q186" s="22"/>
      <c r="R186" s="22"/>
      <c r="S186" s="22"/>
      <c r="Z186" s="22"/>
      <c r="AA186" s="22"/>
      <c r="AB186" s="22"/>
      <c r="AC186" s="22"/>
      <c r="AD186" s="22"/>
      <c r="AE186" s="22"/>
      <c r="AF186" s="22"/>
      <c r="AG186" s="22"/>
      <c r="AH186" s="22"/>
      <c r="AI186" s="22"/>
      <c r="AL186" s="22"/>
      <c r="AM186" s="22"/>
      <c r="AN186" s="22"/>
      <c r="AO186" s="22"/>
      <c r="AP186" s="22"/>
      <c r="AQ186" s="22"/>
      <c r="AR186" s="22"/>
      <c r="AS186" s="22"/>
      <c r="AT186" s="22"/>
      <c r="AU186" s="22"/>
      <c r="AV186" s="22"/>
      <c r="AW186" s="22"/>
      <c r="AX186" s="22"/>
      <c r="AY186" s="22"/>
      <c r="AZ186" s="22"/>
      <c r="BA186" s="22"/>
      <c r="BB186" s="22"/>
      <c r="BC186" s="22"/>
      <c r="BD186" s="22"/>
      <c r="BE186" s="22"/>
      <c r="BF186" s="22"/>
      <c r="BG186" s="22"/>
      <c r="BH186" s="22"/>
      <c r="BI186" s="22"/>
      <c r="BJ186" s="22"/>
      <c r="BK186" s="22"/>
      <c r="BL186" s="22"/>
      <c r="BM186" s="22"/>
      <c r="BN186" s="22"/>
      <c r="BO186" s="22"/>
      <c r="BP186" s="22"/>
      <c r="BQ186" s="22"/>
      <c r="BR186" s="22"/>
      <c r="BS186" s="22"/>
      <c r="BT186" s="22"/>
      <c r="BU186" s="22"/>
      <c r="BV186" s="22"/>
      <c r="BW186" s="22"/>
      <c r="BX186" s="22"/>
      <c r="BY186" s="22"/>
      <c r="BZ186" s="22"/>
      <c r="CA186" s="22"/>
      <c r="CB186" s="22"/>
      <c r="CC186" s="22"/>
    </row>
    <row r="187" spans="1:81" x14ac:dyDescent="0.2">
      <c r="A187" s="36"/>
      <c r="B187" s="22"/>
      <c r="C187" s="22"/>
      <c r="D187" s="22"/>
      <c r="E187" s="22"/>
      <c r="F187" s="22"/>
      <c r="G187" s="22"/>
      <c r="H187" s="22"/>
      <c r="I187" s="22"/>
      <c r="J187" s="177"/>
      <c r="K187" s="177"/>
      <c r="L187" s="22"/>
      <c r="M187" s="22"/>
      <c r="N187" s="22"/>
      <c r="O187" s="22"/>
      <c r="P187" s="22"/>
      <c r="Q187" s="22"/>
      <c r="R187" s="22"/>
      <c r="S187" s="22"/>
      <c r="Z187" s="22"/>
      <c r="AA187" s="22"/>
      <c r="AB187" s="22"/>
      <c r="AC187" s="22"/>
      <c r="AD187" s="22"/>
      <c r="AE187" s="22"/>
      <c r="AF187" s="22"/>
      <c r="AG187" s="22"/>
      <c r="AH187" s="22"/>
      <c r="AI187" s="22"/>
      <c r="AL187" s="22"/>
      <c r="AM187" s="22"/>
      <c r="AN187" s="22"/>
      <c r="AO187" s="22"/>
      <c r="AP187" s="22"/>
      <c r="AQ187" s="22"/>
      <c r="AR187" s="22"/>
      <c r="AS187" s="22"/>
      <c r="AT187" s="22"/>
      <c r="AU187" s="22"/>
      <c r="AV187" s="22"/>
      <c r="AW187" s="22"/>
      <c r="AX187" s="22"/>
      <c r="AY187" s="22"/>
      <c r="AZ187" s="22"/>
      <c r="BA187" s="22"/>
      <c r="BB187" s="22"/>
      <c r="BC187" s="22"/>
      <c r="BD187" s="22"/>
      <c r="BE187" s="22"/>
      <c r="BF187" s="22"/>
      <c r="BG187" s="22"/>
      <c r="BH187" s="22"/>
      <c r="BI187" s="22"/>
      <c r="BJ187" s="22"/>
      <c r="BK187" s="22"/>
      <c r="BL187" s="22"/>
      <c r="BM187" s="22"/>
      <c r="BN187" s="22"/>
      <c r="BO187" s="22"/>
      <c r="BP187" s="22"/>
      <c r="BQ187" s="22"/>
      <c r="BR187" s="22"/>
      <c r="BS187" s="22"/>
      <c r="BT187" s="22"/>
      <c r="BU187" s="22"/>
      <c r="BV187" s="22"/>
      <c r="BW187" s="22"/>
      <c r="BX187" s="22"/>
      <c r="BY187" s="22"/>
      <c r="BZ187" s="22"/>
      <c r="CA187" s="22"/>
      <c r="CB187" s="22"/>
      <c r="CC187" s="22"/>
    </row>
    <row r="188" spans="1:81" x14ac:dyDescent="0.2">
      <c r="A188" s="36"/>
      <c r="B188" s="22"/>
      <c r="C188" s="22"/>
      <c r="D188" s="22"/>
      <c r="E188" s="22"/>
      <c r="F188" s="22"/>
      <c r="G188" s="22"/>
      <c r="H188" s="22"/>
      <c r="I188" s="22"/>
      <c r="J188" s="177"/>
      <c r="K188" s="177"/>
      <c r="L188" s="22"/>
      <c r="M188" s="22"/>
      <c r="N188" s="22"/>
      <c r="O188" s="22"/>
      <c r="P188" s="22"/>
      <c r="Q188" s="22"/>
      <c r="R188" s="22"/>
      <c r="S188" s="22"/>
      <c r="Z188" s="22"/>
      <c r="AA188" s="22"/>
      <c r="AB188" s="22"/>
      <c r="AC188" s="22"/>
      <c r="AD188" s="22"/>
      <c r="AE188" s="22"/>
      <c r="AF188" s="22"/>
      <c r="AG188" s="22"/>
      <c r="AH188" s="22"/>
      <c r="AI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c r="BG188" s="22"/>
      <c r="BH188" s="22"/>
      <c r="BI188" s="22"/>
      <c r="BJ188" s="22"/>
      <c r="BK188" s="22"/>
      <c r="BL188" s="22"/>
      <c r="BM188" s="22"/>
      <c r="BN188" s="22"/>
      <c r="BO188" s="22"/>
      <c r="BP188" s="22"/>
      <c r="BQ188" s="22"/>
      <c r="BR188" s="22"/>
      <c r="BS188" s="22"/>
      <c r="BT188" s="22"/>
      <c r="BU188" s="22"/>
      <c r="BV188" s="22"/>
      <c r="BW188" s="22"/>
      <c r="BX188" s="22"/>
      <c r="BY188" s="22"/>
      <c r="BZ188" s="22"/>
      <c r="CA188" s="22"/>
      <c r="CB188" s="22"/>
      <c r="CC188" s="22"/>
    </row>
    <row r="189" spans="1:81" x14ac:dyDescent="0.2">
      <c r="A189" s="36"/>
      <c r="B189" s="22"/>
      <c r="C189" s="22"/>
      <c r="D189" s="22"/>
      <c r="E189" s="22"/>
      <c r="F189" s="22"/>
      <c r="G189" s="22"/>
      <c r="H189" s="22"/>
      <c r="I189" s="22"/>
      <c r="J189" s="177"/>
      <c r="K189" s="177"/>
      <c r="L189" s="22"/>
      <c r="M189" s="22"/>
      <c r="N189" s="22"/>
      <c r="O189" s="22"/>
      <c r="P189" s="22"/>
      <c r="Q189" s="22"/>
      <c r="R189" s="22"/>
      <c r="S189" s="22"/>
      <c r="Z189" s="22"/>
      <c r="AA189" s="22"/>
      <c r="AB189" s="22"/>
      <c r="AC189" s="22"/>
      <c r="AD189" s="22"/>
      <c r="AE189" s="22"/>
      <c r="AF189" s="22"/>
      <c r="AG189" s="22"/>
      <c r="AH189" s="22"/>
      <c r="AI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c r="BH189" s="22"/>
      <c r="BI189" s="22"/>
      <c r="BJ189" s="22"/>
      <c r="BK189" s="22"/>
      <c r="BL189" s="22"/>
      <c r="BM189" s="22"/>
      <c r="BN189" s="22"/>
      <c r="BO189" s="22"/>
      <c r="BP189" s="22"/>
      <c r="BQ189" s="22"/>
      <c r="BR189" s="22"/>
      <c r="BS189" s="22"/>
      <c r="BT189" s="22"/>
      <c r="BU189" s="22"/>
      <c r="BV189" s="22"/>
      <c r="BW189" s="22"/>
      <c r="BX189" s="22"/>
      <c r="BY189" s="22"/>
      <c r="BZ189" s="22"/>
      <c r="CA189" s="22"/>
      <c r="CB189" s="22"/>
      <c r="CC189" s="22"/>
    </row>
    <row r="190" spans="1:81" x14ac:dyDescent="0.2">
      <c r="A190" s="36"/>
      <c r="B190" s="22"/>
      <c r="C190" s="22"/>
      <c r="D190" s="22"/>
      <c r="E190" s="22"/>
      <c r="F190" s="22"/>
      <c r="G190" s="22"/>
      <c r="H190" s="22"/>
      <c r="I190" s="22"/>
      <c r="J190" s="177"/>
      <c r="K190" s="177"/>
      <c r="L190" s="22"/>
      <c r="M190" s="22"/>
      <c r="N190" s="22"/>
      <c r="O190" s="22"/>
      <c r="P190" s="22"/>
      <c r="Q190" s="22"/>
      <c r="R190" s="22"/>
      <c r="S190" s="22"/>
      <c r="Z190" s="22"/>
      <c r="AA190" s="22"/>
      <c r="AB190" s="22"/>
      <c r="AC190" s="22"/>
      <c r="AD190" s="22"/>
      <c r="AE190" s="22"/>
      <c r="AF190" s="22"/>
      <c r="AG190" s="22"/>
      <c r="AH190" s="22"/>
      <c r="AI190" s="22"/>
      <c r="AL190" s="22"/>
      <c r="AM190" s="22"/>
      <c r="AN190" s="22"/>
      <c r="AO190" s="22"/>
      <c r="AP190" s="22"/>
      <c r="AQ190" s="22"/>
      <c r="AR190" s="22"/>
      <c r="AS190" s="22"/>
      <c r="AT190" s="22"/>
      <c r="AU190" s="22"/>
      <c r="AV190" s="22"/>
      <c r="AW190" s="22"/>
      <c r="AX190" s="22"/>
      <c r="AY190" s="22"/>
      <c r="AZ190" s="22"/>
      <c r="BA190" s="22"/>
      <c r="BB190" s="22"/>
      <c r="BC190" s="22"/>
      <c r="BD190" s="22"/>
      <c r="BE190" s="22"/>
      <c r="BF190" s="22"/>
      <c r="BG190" s="22"/>
      <c r="BH190" s="22"/>
      <c r="BI190" s="22"/>
      <c r="BJ190" s="22"/>
      <c r="BK190" s="22"/>
      <c r="BL190" s="22"/>
      <c r="BM190" s="22"/>
      <c r="BN190" s="22"/>
      <c r="BO190" s="22"/>
      <c r="BP190" s="22"/>
      <c r="BQ190" s="22"/>
      <c r="BR190" s="22"/>
      <c r="BS190" s="22"/>
      <c r="BT190" s="22"/>
      <c r="BU190" s="22"/>
      <c r="BV190" s="22"/>
      <c r="BW190" s="22"/>
      <c r="BX190" s="22"/>
      <c r="BY190" s="22"/>
      <c r="BZ190" s="22"/>
      <c r="CA190" s="22"/>
      <c r="CB190" s="22"/>
      <c r="CC190" s="22"/>
    </row>
    <row r="191" spans="1:81" x14ac:dyDescent="0.2">
      <c r="A191" s="36"/>
      <c r="B191" s="22"/>
      <c r="C191" s="22"/>
      <c r="D191" s="22"/>
      <c r="E191" s="22"/>
      <c r="F191" s="22"/>
      <c r="G191" s="22"/>
      <c r="H191" s="22"/>
      <c r="I191" s="22"/>
      <c r="J191" s="177"/>
      <c r="K191" s="177"/>
      <c r="L191" s="22"/>
      <c r="M191" s="22"/>
      <c r="N191" s="22"/>
      <c r="O191" s="22"/>
      <c r="P191" s="22"/>
      <c r="Q191" s="22"/>
      <c r="R191" s="22"/>
      <c r="S191" s="22"/>
      <c r="Z191" s="22"/>
      <c r="AA191" s="22"/>
      <c r="AB191" s="22"/>
      <c r="AC191" s="22"/>
      <c r="AD191" s="22"/>
      <c r="AE191" s="22"/>
      <c r="AF191" s="22"/>
      <c r="AG191" s="22"/>
      <c r="AH191" s="22"/>
      <c r="AI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22"/>
      <c r="BH191" s="22"/>
      <c r="BI191" s="22"/>
      <c r="BJ191" s="22"/>
      <c r="BK191" s="22"/>
      <c r="BL191" s="22"/>
      <c r="BM191" s="22"/>
      <c r="BN191" s="22"/>
      <c r="BO191" s="22"/>
      <c r="BP191" s="22"/>
      <c r="BQ191" s="22"/>
      <c r="BR191" s="22"/>
      <c r="BS191" s="22"/>
      <c r="BT191" s="22"/>
      <c r="BU191" s="22"/>
      <c r="BV191" s="22"/>
      <c r="BW191" s="22"/>
      <c r="BX191" s="22"/>
      <c r="BY191" s="22"/>
      <c r="BZ191" s="22"/>
      <c r="CA191" s="22"/>
      <c r="CB191" s="22"/>
      <c r="CC191" s="22"/>
    </row>
    <row r="192" spans="1:81" x14ac:dyDescent="0.2">
      <c r="A192" s="36"/>
      <c r="B192" s="22"/>
      <c r="C192" s="22"/>
      <c r="D192" s="22"/>
      <c r="E192" s="22"/>
      <c r="F192" s="22"/>
      <c r="G192" s="22"/>
      <c r="H192" s="22"/>
      <c r="I192" s="22"/>
      <c r="J192" s="177"/>
      <c r="K192" s="177"/>
      <c r="L192" s="22"/>
      <c r="M192" s="22"/>
      <c r="N192" s="22"/>
      <c r="O192" s="22"/>
      <c r="P192" s="22"/>
      <c r="Q192" s="22"/>
      <c r="R192" s="22"/>
      <c r="S192" s="22"/>
      <c r="Z192" s="22"/>
      <c r="AA192" s="22"/>
      <c r="AB192" s="22"/>
      <c r="AC192" s="22"/>
      <c r="AD192" s="22"/>
      <c r="AE192" s="22"/>
      <c r="AF192" s="22"/>
      <c r="AG192" s="22"/>
      <c r="AH192" s="22"/>
      <c r="AI192" s="22"/>
      <c r="AL192" s="22"/>
      <c r="AM192" s="22"/>
      <c r="AN192" s="22"/>
      <c r="AO192" s="22"/>
      <c r="AP192" s="22"/>
      <c r="AQ192" s="22"/>
      <c r="AR192" s="22"/>
      <c r="AS192" s="22"/>
      <c r="AT192" s="22"/>
      <c r="AU192" s="22"/>
      <c r="AV192" s="22"/>
      <c r="AW192" s="22"/>
      <c r="AX192" s="22"/>
      <c r="AY192" s="22"/>
      <c r="AZ192" s="22"/>
      <c r="BA192" s="22"/>
      <c r="BB192" s="22"/>
      <c r="BC192" s="22"/>
      <c r="BD192" s="22"/>
      <c r="BE192" s="22"/>
      <c r="BF192" s="22"/>
      <c r="BG192" s="22"/>
      <c r="BH192" s="22"/>
      <c r="BI192" s="22"/>
      <c r="BJ192" s="22"/>
      <c r="BK192" s="22"/>
      <c r="BL192" s="22"/>
      <c r="BM192" s="22"/>
      <c r="BN192" s="22"/>
      <c r="BO192" s="22"/>
      <c r="BP192" s="22"/>
      <c r="BQ192" s="22"/>
      <c r="BR192" s="22"/>
      <c r="BS192" s="22"/>
      <c r="BT192" s="22"/>
      <c r="BU192" s="22"/>
      <c r="BV192" s="22"/>
      <c r="BW192" s="22"/>
      <c r="BX192" s="22"/>
      <c r="BY192" s="22"/>
      <c r="BZ192" s="22"/>
      <c r="CA192" s="22"/>
      <c r="CB192" s="22"/>
      <c r="CC192" s="22"/>
    </row>
    <row r="193" spans="1:81" x14ac:dyDescent="0.2">
      <c r="A193" s="36"/>
      <c r="B193" s="22"/>
      <c r="C193" s="22"/>
      <c r="D193" s="22"/>
      <c r="E193" s="22"/>
      <c r="F193" s="22"/>
      <c r="G193" s="22"/>
      <c r="H193" s="22"/>
      <c r="I193" s="22"/>
      <c r="J193" s="177"/>
      <c r="K193" s="177"/>
      <c r="L193" s="22"/>
      <c r="M193" s="22"/>
      <c r="N193" s="22"/>
      <c r="O193" s="22"/>
      <c r="P193" s="22"/>
      <c r="Q193" s="22"/>
      <c r="R193" s="22"/>
      <c r="S193" s="22"/>
      <c r="Z193" s="22"/>
      <c r="AA193" s="22"/>
      <c r="AB193" s="22"/>
      <c r="AC193" s="22"/>
      <c r="AD193" s="22"/>
      <c r="AE193" s="22"/>
      <c r="AF193" s="22"/>
      <c r="AG193" s="22"/>
      <c r="AH193" s="22"/>
      <c r="AI193" s="22"/>
      <c r="AL193" s="22"/>
      <c r="AM193" s="22"/>
      <c r="AN193" s="22"/>
      <c r="AO193" s="22"/>
      <c r="AP193" s="22"/>
      <c r="AQ193" s="22"/>
      <c r="AR193" s="22"/>
      <c r="AS193" s="22"/>
      <c r="AT193" s="22"/>
      <c r="AU193" s="22"/>
      <c r="AV193" s="22"/>
      <c r="AW193" s="22"/>
      <c r="AX193" s="22"/>
      <c r="AY193" s="22"/>
      <c r="AZ193" s="22"/>
      <c r="BA193" s="22"/>
      <c r="BB193" s="22"/>
      <c r="BC193" s="22"/>
      <c r="BD193" s="22"/>
      <c r="BE193" s="22"/>
      <c r="BF193" s="22"/>
      <c r="BG193" s="22"/>
      <c r="BH193" s="22"/>
      <c r="BI193" s="22"/>
      <c r="BJ193" s="22"/>
      <c r="BK193" s="22"/>
      <c r="BL193" s="22"/>
      <c r="BM193" s="22"/>
      <c r="BN193" s="22"/>
      <c r="BO193" s="22"/>
      <c r="BP193" s="22"/>
      <c r="BQ193" s="22"/>
      <c r="BR193" s="22"/>
      <c r="BS193" s="22"/>
      <c r="BT193" s="22"/>
      <c r="BU193" s="22"/>
      <c r="BV193" s="22"/>
      <c r="BW193" s="22"/>
      <c r="BX193" s="22"/>
      <c r="BY193" s="22"/>
      <c r="BZ193" s="22"/>
      <c r="CA193" s="22"/>
      <c r="CB193" s="22"/>
      <c r="CC193" s="22"/>
    </row>
    <row r="194" spans="1:81" x14ac:dyDescent="0.2">
      <c r="A194" s="36"/>
      <c r="B194" s="22"/>
      <c r="C194" s="22"/>
      <c r="D194" s="22"/>
      <c r="E194" s="22"/>
      <c r="F194" s="22"/>
      <c r="G194" s="22"/>
      <c r="H194" s="22"/>
      <c r="I194" s="22"/>
      <c r="J194" s="177"/>
      <c r="K194" s="177"/>
      <c r="L194" s="22"/>
      <c r="M194" s="22"/>
      <c r="N194" s="22"/>
      <c r="O194" s="22"/>
      <c r="P194" s="22"/>
      <c r="Q194" s="22"/>
      <c r="R194" s="22"/>
      <c r="S194" s="22"/>
      <c r="Z194" s="22"/>
      <c r="AA194" s="22"/>
      <c r="AB194" s="22"/>
      <c r="AC194" s="22"/>
      <c r="AD194" s="22"/>
      <c r="AE194" s="22"/>
      <c r="AF194" s="22"/>
      <c r="AG194" s="22"/>
      <c r="AH194" s="22"/>
      <c r="AI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c r="BG194" s="22"/>
      <c r="BH194" s="22"/>
      <c r="BI194" s="22"/>
      <c r="BJ194" s="22"/>
      <c r="BK194" s="22"/>
      <c r="BL194" s="22"/>
      <c r="BM194" s="22"/>
      <c r="BN194" s="22"/>
      <c r="BO194" s="22"/>
      <c r="BP194" s="22"/>
      <c r="BQ194" s="22"/>
      <c r="BR194" s="22"/>
      <c r="BS194" s="22"/>
      <c r="BT194" s="22"/>
      <c r="BU194" s="22"/>
      <c r="BV194" s="22"/>
      <c r="BW194" s="22"/>
      <c r="BX194" s="22"/>
      <c r="BY194" s="22"/>
      <c r="BZ194" s="22"/>
      <c r="CA194" s="22"/>
      <c r="CB194" s="22"/>
      <c r="CC194" s="22"/>
    </row>
    <row r="195" spans="1:81" x14ac:dyDescent="0.2">
      <c r="A195" s="36"/>
      <c r="B195" s="22"/>
      <c r="C195" s="22"/>
      <c r="D195" s="22"/>
      <c r="E195" s="22"/>
      <c r="F195" s="22"/>
      <c r="G195" s="22"/>
      <c r="H195" s="22"/>
      <c r="I195" s="22"/>
      <c r="J195" s="177"/>
      <c r="K195" s="177"/>
      <c r="L195" s="22"/>
      <c r="M195" s="22"/>
      <c r="N195" s="22"/>
      <c r="O195" s="22"/>
      <c r="P195" s="22"/>
      <c r="Q195" s="22"/>
      <c r="R195" s="22"/>
      <c r="S195" s="22"/>
      <c r="Z195" s="22"/>
      <c r="AA195" s="22"/>
      <c r="AB195" s="22"/>
      <c r="AC195" s="22"/>
      <c r="AD195" s="22"/>
      <c r="AE195" s="22"/>
      <c r="AF195" s="22"/>
      <c r="AG195" s="22"/>
      <c r="AH195" s="22"/>
      <c r="AI195" s="22"/>
      <c r="AL195" s="22"/>
      <c r="AM195" s="22"/>
      <c r="AN195" s="22"/>
      <c r="AO195" s="22"/>
      <c r="AP195" s="22"/>
      <c r="AQ195" s="22"/>
      <c r="AR195" s="22"/>
      <c r="AS195" s="22"/>
      <c r="AT195" s="22"/>
      <c r="AU195" s="22"/>
      <c r="AV195" s="22"/>
      <c r="AW195" s="22"/>
      <c r="AX195" s="22"/>
      <c r="AY195" s="22"/>
      <c r="AZ195" s="22"/>
      <c r="BA195" s="22"/>
      <c r="BB195" s="22"/>
      <c r="BC195" s="22"/>
      <c r="BD195" s="22"/>
      <c r="BE195" s="22"/>
      <c r="BF195" s="22"/>
      <c r="BG195" s="22"/>
      <c r="BH195" s="22"/>
      <c r="BI195" s="22"/>
      <c r="BJ195" s="22"/>
      <c r="BK195" s="22"/>
      <c r="BL195" s="22"/>
      <c r="BM195" s="22"/>
      <c r="BN195" s="22"/>
      <c r="BO195" s="22"/>
      <c r="BP195" s="22"/>
      <c r="BQ195" s="22"/>
      <c r="BR195" s="22"/>
      <c r="BS195" s="22"/>
      <c r="BT195" s="22"/>
      <c r="BU195" s="22"/>
      <c r="BV195" s="22"/>
      <c r="BW195" s="22"/>
      <c r="BX195" s="22"/>
      <c r="BY195" s="22"/>
      <c r="BZ195" s="22"/>
      <c r="CA195" s="22"/>
      <c r="CB195" s="22"/>
      <c r="CC195" s="22"/>
    </row>
    <row r="196" spans="1:81" x14ac:dyDescent="0.2">
      <c r="A196" s="36"/>
      <c r="B196" s="22"/>
      <c r="C196" s="22"/>
      <c r="D196" s="22"/>
      <c r="E196" s="22"/>
      <c r="F196" s="22"/>
      <c r="G196" s="22"/>
      <c r="H196" s="22"/>
      <c r="I196" s="22"/>
      <c r="J196" s="177"/>
      <c r="K196" s="177"/>
      <c r="L196" s="22"/>
      <c r="M196" s="22"/>
      <c r="N196" s="22"/>
      <c r="O196" s="22"/>
      <c r="P196" s="22"/>
      <c r="Q196" s="22"/>
      <c r="R196" s="22"/>
      <c r="S196" s="22"/>
      <c r="Z196" s="22"/>
      <c r="AA196" s="22"/>
      <c r="AB196" s="22"/>
      <c r="AC196" s="22"/>
      <c r="AD196" s="22"/>
      <c r="AE196" s="22"/>
      <c r="AF196" s="22"/>
      <c r="AG196" s="22"/>
      <c r="AH196" s="22"/>
      <c r="AI196" s="22"/>
      <c r="AL196" s="22"/>
      <c r="AM196" s="22"/>
      <c r="AN196" s="22"/>
      <c r="AO196" s="22"/>
      <c r="AP196" s="22"/>
      <c r="AQ196" s="22"/>
      <c r="AR196" s="22"/>
      <c r="AS196" s="22"/>
      <c r="AT196" s="22"/>
      <c r="AU196" s="22"/>
      <c r="AV196" s="22"/>
      <c r="AW196" s="22"/>
      <c r="AX196" s="22"/>
      <c r="AY196" s="22"/>
      <c r="AZ196" s="22"/>
      <c r="BA196" s="22"/>
      <c r="BB196" s="22"/>
      <c r="BC196" s="22"/>
      <c r="BD196" s="22"/>
      <c r="BE196" s="22"/>
      <c r="BF196" s="22"/>
      <c r="BG196" s="22"/>
      <c r="BH196" s="22"/>
      <c r="BI196" s="22"/>
      <c r="BJ196" s="22"/>
      <c r="BK196" s="22"/>
      <c r="BL196" s="22"/>
      <c r="BM196" s="22"/>
      <c r="BN196" s="22"/>
      <c r="BO196" s="22"/>
      <c r="BP196" s="22"/>
      <c r="BQ196" s="22"/>
      <c r="BR196" s="22"/>
      <c r="BS196" s="22"/>
      <c r="BT196" s="22"/>
      <c r="BU196" s="22"/>
      <c r="BV196" s="22"/>
      <c r="BW196" s="22"/>
      <c r="BX196" s="22"/>
      <c r="BY196" s="22"/>
      <c r="BZ196" s="22"/>
      <c r="CA196" s="22"/>
      <c r="CB196" s="22"/>
      <c r="CC196" s="22"/>
    </row>
    <row r="197" spans="1:81" x14ac:dyDescent="0.2">
      <c r="A197" s="36"/>
      <c r="B197" s="22"/>
      <c r="C197" s="22"/>
      <c r="D197" s="22"/>
      <c r="E197" s="22"/>
      <c r="F197" s="22"/>
      <c r="G197" s="22"/>
      <c r="H197" s="22"/>
      <c r="I197" s="22"/>
      <c r="J197" s="177"/>
      <c r="K197" s="177"/>
      <c r="L197" s="22"/>
      <c r="M197" s="22"/>
      <c r="N197" s="22"/>
      <c r="O197" s="22"/>
      <c r="P197" s="22"/>
      <c r="Q197" s="22"/>
      <c r="R197" s="22"/>
      <c r="S197" s="22"/>
      <c r="Z197" s="22"/>
      <c r="AA197" s="22"/>
      <c r="AB197" s="22"/>
      <c r="AC197" s="22"/>
      <c r="AD197" s="22"/>
      <c r="AE197" s="22"/>
      <c r="AF197" s="22"/>
      <c r="AG197" s="22"/>
      <c r="AH197" s="22"/>
      <c r="AI197" s="22"/>
      <c r="AL197" s="22"/>
      <c r="AM197" s="22"/>
      <c r="AN197" s="22"/>
      <c r="AO197" s="22"/>
      <c r="AP197" s="22"/>
      <c r="AQ197" s="22"/>
      <c r="AR197" s="22"/>
      <c r="AS197" s="22"/>
      <c r="AT197" s="22"/>
      <c r="AU197" s="22"/>
      <c r="AV197" s="22"/>
      <c r="AW197" s="22"/>
      <c r="AX197" s="22"/>
      <c r="AY197" s="22"/>
      <c r="AZ197" s="22"/>
      <c r="BA197" s="22"/>
      <c r="BB197" s="22"/>
      <c r="BC197" s="22"/>
      <c r="BD197" s="22"/>
      <c r="BE197" s="22"/>
      <c r="BF197" s="22"/>
      <c r="BG197" s="22"/>
      <c r="BH197" s="22"/>
      <c r="BI197" s="22"/>
      <c r="BJ197" s="22"/>
      <c r="BK197" s="22"/>
      <c r="BL197" s="22"/>
      <c r="BM197" s="22"/>
      <c r="BN197" s="22"/>
      <c r="BO197" s="22"/>
      <c r="BP197" s="22"/>
      <c r="BQ197" s="22"/>
      <c r="BR197" s="22"/>
      <c r="BS197" s="22"/>
      <c r="BT197" s="22"/>
      <c r="BU197" s="22"/>
      <c r="BV197" s="22"/>
      <c r="BW197" s="22"/>
      <c r="BX197" s="22"/>
      <c r="BY197" s="22"/>
      <c r="BZ197" s="22"/>
      <c r="CA197" s="22"/>
      <c r="CB197" s="22"/>
      <c r="CC197" s="22"/>
    </row>
    <row r="198" spans="1:81" x14ac:dyDescent="0.2">
      <c r="A198" s="36"/>
      <c r="B198" s="22"/>
      <c r="C198" s="22"/>
      <c r="D198" s="22"/>
      <c r="E198" s="22"/>
      <c r="F198" s="22"/>
      <c r="G198" s="22"/>
      <c r="H198" s="22"/>
      <c r="I198" s="22"/>
      <c r="J198" s="177"/>
      <c r="K198" s="177"/>
      <c r="L198" s="22"/>
      <c r="M198" s="22"/>
      <c r="N198" s="22"/>
      <c r="O198" s="22"/>
      <c r="P198" s="22"/>
      <c r="Q198" s="22"/>
      <c r="R198" s="22"/>
      <c r="S198" s="22"/>
      <c r="Z198" s="22"/>
      <c r="AA198" s="22"/>
      <c r="AB198" s="22"/>
      <c r="AC198" s="22"/>
      <c r="AD198" s="22"/>
      <c r="AE198" s="22"/>
      <c r="AF198" s="22"/>
      <c r="AG198" s="22"/>
      <c r="AH198" s="22"/>
      <c r="AI198" s="22"/>
      <c r="AL198" s="22"/>
      <c r="AM198" s="22"/>
      <c r="AN198" s="22"/>
      <c r="AO198" s="22"/>
      <c r="AP198" s="22"/>
      <c r="AQ198" s="22"/>
      <c r="AR198" s="22"/>
      <c r="AS198" s="22"/>
      <c r="AT198" s="22"/>
      <c r="AU198" s="22"/>
      <c r="AV198" s="22"/>
      <c r="AW198" s="22"/>
      <c r="AX198" s="22"/>
      <c r="AY198" s="22"/>
      <c r="AZ198" s="22"/>
      <c r="BA198" s="22"/>
      <c r="BB198" s="22"/>
      <c r="BC198" s="22"/>
      <c r="BD198" s="22"/>
      <c r="BE198" s="22"/>
      <c r="BF198" s="22"/>
      <c r="BG198" s="22"/>
      <c r="BH198" s="22"/>
      <c r="BI198" s="22"/>
      <c r="BJ198" s="22"/>
      <c r="BK198" s="22"/>
      <c r="BL198" s="22"/>
      <c r="BM198" s="22"/>
      <c r="BN198" s="22"/>
      <c r="BO198" s="22"/>
      <c r="BP198" s="22"/>
      <c r="BQ198" s="22"/>
      <c r="BR198" s="22"/>
      <c r="BS198" s="22"/>
      <c r="BT198" s="22"/>
      <c r="BU198" s="22"/>
      <c r="BV198" s="22"/>
      <c r="BW198" s="22"/>
      <c r="BX198" s="22"/>
      <c r="BY198" s="22"/>
      <c r="BZ198" s="22"/>
      <c r="CA198" s="22"/>
      <c r="CB198" s="22"/>
      <c r="CC198" s="22"/>
    </row>
    <row r="199" spans="1:81" x14ac:dyDescent="0.2">
      <c r="A199" s="36"/>
      <c r="B199" s="22"/>
      <c r="C199" s="22"/>
      <c r="D199" s="22"/>
      <c r="E199" s="22"/>
      <c r="F199" s="22"/>
      <c r="G199" s="22"/>
      <c r="H199" s="22"/>
      <c r="I199" s="22"/>
      <c r="J199" s="177"/>
      <c r="K199" s="177"/>
      <c r="L199" s="22"/>
      <c r="M199" s="22"/>
      <c r="N199" s="22"/>
      <c r="O199" s="22"/>
      <c r="P199" s="22"/>
      <c r="Q199" s="22"/>
      <c r="R199" s="22"/>
      <c r="S199" s="22"/>
      <c r="Z199" s="22"/>
      <c r="AA199" s="22"/>
      <c r="AB199" s="22"/>
      <c r="AC199" s="22"/>
      <c r="AD199" s="22"/>
      <c r="AE199" s="22"/>
      <c r="AF199" s="22"/>
      <c r="AG199" s="22"/>
      <c r="AH199" s="22"/>
      <c r="AI199" s="22"/>
      <c r="AL199" s="22"/>
      <c r="AM199" s="22"/>
      <c r="AN199" s="22"/>
      <c r="AO199" s="22"/>
      <c r="AP199" s="22"/>
      <c r="AQ199" s="22"/>
      <c r="AR199" s="22"/>
      <c r="AS199" s="22"/>
      <c r="AT199" s="22"/>
      <c r="AU199" s="22"/>
      <c r="AV199" s="22"/>
      <c r="AW199" s="22"/>
      <c r="AX199" s="22"/>
      <c r="AY199" s="22"/>
      <c r="AZ199" s="22"/>
      <c r="BA199" s="22"/>
      <c r="BB199" s="22"/>
      <c r="BC199" s="22"/>
      <c r="BD199" s="22"/>
      <c r="BE199" s="22"/>
      <c r="BF199" s="22"/>
      <c r="BG199" s="22"/>
      <c r="BH199" s="22"/>
      <c r="BI199" s="22"/>
      <c r="BJ199" s="22"/>
      <c r="BK199" s="22"/>
      <c r="BL199" s="22"/>
      <c r="BM199" s="22"/>
      <c r="BN199" s="22"/>
      <c r="BO199" s="22"/>
      <c r="BP199" s="22"/>
      <c r="BQ199" s="22"/>
      <c r="BR199" s="22"/>
      <c r="BS199" s="22"/>
      <c r="BT199" s="22"/>
      <c r="BU199" s="22"/>
      <c r="BV199" s="22"/>
      <c r="BW199" s="22"/>
      <c r="BX199" s="22"/>
      <c r="BY199" s="22"/>
      <c r="BZ199" s="22"/>
      <c r="CA199" s="22"/>
      <c r="CB199" s="22"/>
      <c r="CC199" s="22"/>
    </row>
    <row r="200" spans="1:81" x14ac:dyDescent="0.2">
      <c r="A200" s="36"/>
      <c r="B200" s="22"/>
      <c r="C200" s="22"/>
      <c r="D200" s="22"/>
      <c r="E200" s="22"/>
      <c r="F200" s="22"/>
      <c r="G200" s="22"/>
      <c r="H200" s="22"/>
      <c r="I200" s="22"/>
      <c r="J200" s="177"/>
      <c r="K200" s="177"/>
      <c r="L200" s="22"/>
      <c r="M200" s="22"/>
      <c r="N200" s="22"/>
      <c r="O200" s="22"/>
      <c r="P200" s="22"/>
      <c r="Q200" s="22"/>
      <c r="R200" s="22"/>
      <c r="S200" s="22"/>
      <c r="Z200" s="22"/>
      <c r="AA200" s="22"/>
      <c r="AB200" s="22"/>
      <c r="AC200" s="22"/>
      <c r="AD200" s="22"/>
      <c r="AE200" s="22"/>
      <c r="AF200" s="22"/>
      <c r="AG200" s="22"/>
      <c r="AH200" s="22"/>
      <c r="AI200" s="22"/>
      <c r="AL200" s="22"/>
      <c r="AM200" s="22"/>
      <c r="AN200" s="22"/>
      <c r="AO200" s="22"/>
      <c r="AP200" s="22"/>
      <c r="AQ200" s="22"/>
      <c r="AR200" s="22"/>
      <c r="AS200" s="22"/>
      <c r="AT200" s="22"/>
      <c r="AU200" s="22"/>
      <c r="AV200" s="22"/>
      <c r="AW200" s="22"/>
      <c r="AX200" s="22"/>
      <c r="AY200" s="22"/>
      <c r="AZ200" s="22"/>
      <c r="BA200" s="22"/>
      <c r="BB200" s="22"/>
      <c r="BC200" s="22"/>
      <c r="BD200" s="22"/>
      <c r="BE200" s="22"/>
      <c r="BF200" s="22"/>
      <c r="BG200" s="22"/>
      <c r="BH200" s="22"/>
      <c r="BI200" s="22"/>
      <c r="BJ200" s="22"/>
      <c r="BK200" s="22"/>
      <c r="BL200" s="22"/>
      <c r="BM200" s="22"/>
      <c r="BN200" s="22"/>
      <c r="BO200" s="22"/>
      <c r="BP200" s="22"/>
      <c r="BQ200" s="22"/>
      <c r="BR200" s="22"/>
      <c r="BS200" s="22"/>
      <c r="BT200" s="22"/>
      <c r="BU200" s="22"/>
      <c r="BV200" s="22"/>
      <c r="BW200" s="22"/>
      <c r="BX200" s="22"/>
      <c r="BY200" s="22"/>
      <c r="BZ200" s="22"/>
      <c r="CA200" s="22"/>
      <c r="CB200" s="22"/>
      <c r="CC200" s="22"/>
    </row>
    <row r="201" spans="1:81" x14ac:dyDescent="0.2">
      <c r="A201" s="36"/>
      <c r="B201" s="22"/>
      <c r="C201" s="22"/>
      <c r="D201" s="22"/>
      <c r="E201" s="22"/>
      <c r="F201" s="22"/>
      <c r="G201" s="22"/>
      <c r="H201" s="22"/>
      <c r="I201" s="22"/>
      <c r="J201" s="177"/>
      <c r="K201" s="177"/>
      <c r="L201" s="22"/>
      <c r="M201" s="22"/>
      <c r="N201" s="22"/>
      <c r="O201" s="22"/>
      <c r="P201" s="22"/>
      <c r="Q201" s="22"/>
      <c r="R201" s="22"/>
      <c r="S201" s="22"/>
      <c r="Z201" s="22"/>
      <c r="AA201" s="22"/>
      <c r="AB201" s="22"/>
      <c r="AC201" s="22"/>
      <c r="AD201" s="22"/>
      <c r="AE201" s="22"/>
      <c r="AF201" s="22"/>
      <c r="AG201" s="22"/>
      <c r="AH201" s="22"/>
      <c r="AI201" s="22"/>
      <c r="AL201" s="22"/>
      <c r="AM201" s="22"/>
      <c r="AN201" s="22"/>
      <c r="AO201" s="22"/>
      <c r="AP201" s="22"/>
      <c r="AQ201" s="22"/>
      <c r="AR201" s="22"/>
      <c r="AS201" s="22"/>
      <c r="AT201" s="22"/>
      <c r="AU201" s="22"/>
      <c r="AV201" s="22"/>
      <c r="AW201" s="22"/>
      <c r="AX201" s="22"/>
      <c r="AY201" s="22"/>
      <c r="AZ201" s="22"/>
      <c r="BA201" s="22"/>
      <c r="BB201" s="22"/>
      <c r="BC201" s="22"/>
      <c r="BD201" s="22"/>
      <c r="BE201" s="22"/>
      <c r="BF201" s="22"/>
      <c r="BG201" s="22"/>
      <c r="BH201" s="22"/>
      <c r="BI201" s="22"/>
      <c r="BJ201" s="22"/>
      <c r="BK201" s="22"/>
      <c r="BL201" s="22"/>
      <c r="BM201" s="22"/>
      <c r="BN201" s="22"/>
      <c r="BO201" s="22"/>
      <c r="BP201" s="22"/>
      <c r="BQ201" s="22"/>
      <c r="BR201" s="22"/>
      <c r="BS201" s="22"/>
      <c r="BT201" s="22"/>
      <c r="BU201" s="22"/>
      <c r="BV201" s="22"/>
      <c r="BW201" s="22"/>
      <c r="BX201" s="22"/>
      <c r="BY201" s="22"/>
      <c r="BZ201" s="22"/>
      <c r="CA201" s="22"/>
      <c r="CB201" s="22"/>
      <c r="CC201" s="22"/>
    </row>
  </sheetData>
  <mergeCells count="44">
    <mergeCell ref="A40:A51"/>
    <mergeCell ref="AP4:AQ4"/>
    <mergeCell ref="AR4:AS4"/>
    <mergeCell ref="AJ4:AK4"/>
    <mergeCell ref="AL4:AM4"/>
    <mergeCell ref="B4:C4"/>
    <mergeCell ref="D4:E4"/>
    <mergeCell ref="F4:G4"/>
    <mergeCell ref="AN4:AO4"/>
    <mergeCell ref="A37:A39"/>
    <mergeCell ref="AH4:AI4"/>
    <mergeCell ref="R4:S4"/>
    <mergeCell ref="J4:K4"/>
    <mergeCell ref="T4:U4"/>
    <mergeCell ref="L4:M4"/>
    <mergeCell ref="AD4:AE4"/>
    <mergeCell ref="AT4:AU4"/>
    <mergeCell ref="AZ4:BA4"/>
    <mergeCell ref="BZ4:CA4"/>
    <mergeCell ref="BX4:BY4"/>
    <mergeCell ref="BN4:BO4"/>
    <mergeCell ref="BB4:BC4"/>
    <mergeCell ref="BJ4:BK4"/>
    <mergeCell ref="BH4:BI4"/>
    <mergeCell ref="BL4:BM4"/>
    <mergeCell ref="BD4:BE4"/>
    <mergeCell ref="BT4:BU4"/>
    <mergeCell ref="AV4:AW4"/>
    <mergeCell ref="AB4:AC4"/>
    <mergeCell ref="A2:CC2"/>
    <mergeCell ref="A4:A5"/>
    <mergeCell ref="N4:O4"/>
    <mergeCell ref="P4:Q4"/>
    <mergeCell ref="Z4:AA4"/>
    <mergeCell ref="H4:I4"/>
    <mergeCell ref="V4:W4"/>
    <mergeCell ref="X4:Y4"/>
    <mergeCell ref="AF4:AG4"/>
    <mergeCell ref="CB4:CC4"/>
    <mergeCell ref="BP4:BQ4"/>
    <mergeCell ref="BV4:BW4"/>
    <mergeCell ref="BR4:BS4"/>
    <mergeCell ref="AX4:AY4"/>
    <mergeCell ref="BF4:BG4"/>
  </mergeCells>
  <phoneticPr fontId="0" type="noConversion"/>
  <conditionalFormatting sqref="P19:S19 BF19:BI19 AD19:AG19 AJ19:AK19 AN19:AQ19 BW19 BQ19 BT19:BU19">
    <cfRule type="cellIs" dxfId="9" priority="136" stopIfTrue="1" operator="lessThan">
      <formula>0</formula>
    </cfRule>
  </conditionalFormatting>
  <conditionalFormatting sqref="AX19:BA19">
    <cfRule type="cellIs" dxfId="8" priority="135" stopIfTrue="1" operator="lessThan">
      <formula>0</formula>
    </cfRule>
  </conditionalFormatting>
  <conditionalFormatting sqref="BZ19:CA19">
    <cfRule type="cellIs" dxfId="7" priority="106" stopIfTrue="1" operator="lessThan">
      <formula>0</formula>
    </cfRule>
  </conditionalFormatting>
  <conditionalFormatting sqref="AB19:AC19">
    <cfRule type="cellIs" dxfId="6" priority="101" stopIfTrue="1" operator="lessThan">
      <formula>0</formula>
    </cfRule>
  </conditionalFormatting>
  <conditionalFormatting sqref="BJ19:BK19">
    <cfRule type="cellIs" dxfId="5" priority="99" stopIfTrue="1" operator="lessThan">
      <formula>0</formula>
    </cfRule>
  </conditionalFormatting>
  <conditionalFormatting sqref="BC19:BE19">
    <cfRule type="cellIs" dxfId="4" priority="95" stopIfTrue="1" operator="lessThan">
      <formula>0</formula>
    </cfRule>
  </conditionalFormatting>
  <conditionalFormatting sqref="BB19">
    <cfRule type="cellIs" dxfId="3" priority="93" stopIfTrue="1" operator="lessThan">
      <formula>0</formula>
    </cfRule>
  </conditionalFormatting>
  <conditionalFormatting sqref="CB19:CC19">
    <cfRule type="cellIs" dxfId="2" priority="37" stopIfTrue="1" operator="lessThan">
      <formula>0</formula>
    </cfRule>
  </conditionalFormatting>
  <conditionalFormatting sqref="BX19:BY19">
    <cfRule type="cellIs" dxfId="1" priority="33" stopIfTrue="1" operator="lessThan">
      <formula>0</formula>
    </cfRule>
  </conditionalFormatting>
  <conditionalFormatting sqref="N19:S19">
    <cfRule type="cellIs" dxfId="0" priority="3" stopIfTrue="1" operator="lessThan">
      <formula>0</formula>
    </cfRule>
  </conditionalFormatting>
  <pageMargins left="0.81" right="0.59055118110236227" top="0.93" bottom="0.48" header="0" footer="0"/>
  <pageSetup scale="96" fitToWidth="2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A1:CC29"/>
  <sheetViews>
    <sheetView zoomScaleNormal="100" workbookViewId="0"/>
  </sheetViews>
  <sheetFormatPr baseColWidth="10" defaultColWidth="11.42578125" defaultRowHeight="12" x14ac:dyDescent="0.2"/>
  <cols>
    <col min="1" max="1" width="53" style="3" customWidth="1"/>
    <col min="2" max="3" width="20.85546875" style="2" customWidth="1"/>
    <col min="4" max="42" width="20.85546875" style="19" customWidth="1"/>
    <col min="43" max="82" width="20.85546875" style="2" customWidth="1"/>
    <col min="83" max="16384" width="11.42578125" style="2"/>
  </cols>
  <sheetData>
    <row r="1" spans="1:81" ht="15.75" customHeight="1" x14ac:dyDescent="0.2">
      <c r="A1" s="3" t="s">
        <v>167</v>
      </c>
      <c r="Q1" s="20"/>
    </row>
    <row r="2" spans="1:81" ht="22.5" customHeight="1" x14ac:dyDescent="0.2">
      <c r="A2" s="263" t="s">
        <v>21</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264"/>
      <c r="BK2" s="264"/>
      <c r="BL2" s="264"/>
      <c r="BM2" s="264"/>
      <c r="BN2" s="264"/>
      <c r="BO2" s="264"/>
      <c r="BP2" s="264"/>
      <c r="BQ2" s="264"/>
      <c r="BR2" s="264"/>
      <c r="BS2" s="264"/>
      <c r="BT2" s="264"/>
      <c r="BU2" s="264"/>
      <c r="BV2" s="264"/>
      <c r="BW2" s="264"/>
      <c r="BX2" s="264"/>
      <c r="BY2" s="264"/>
      <c r="BZ2" s="264"/>
      <c r="CA2" s="264"/>
      <c r="CB2" s="264"/>
      <c r="CC2" s="264"/>
    </row>
    <row r="3" spans="1:81" ht="27" customHeight="1" x14ac:dyDescent="0.2">
      <c r="A3" s="3" t="s">
        <v>35</v>
      </c>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81" s="4" customFormat="1" ht="49.5" customHeight="1" x14ac:dyDescent="0.2">
      <c r="A4" s="261" t="s">
        <v>36</v>
      </c>
      <c r="B4" s="227" t="s">
        <v>168</v>
      </c>
      <c r="C4" s="227"/>
      <c r="D4" s="227" t="s">
        <v>126</v>
      </c>
      <c r="E4" s="227"/>
      <c r="F4" s="227" t="s">
        <v>127</v>
      </c>
      <c r="G4" s="227"/>
      <c r="H4" s="227" t="s">
        <v>128</v>
      </c>
      <c r="I4" s="227"/>
      <c r="J4" s="227" t="s">
        <v>129</v>
      </c>
      <c r="K4" s="227"/>
      <c r="L4" s="227" t="s">
        <v>130</v>
      </c>
      <c r="M4" s="227"/>
      <c r="N4" s="227" t="s">
        <v>131</v>
      </c>
      <c r="O4" s="227"/>
      <c r="P4" s="227" t="s">
        <v>132</v>
      </c>
      <c r="Q4" s="227"/>
      <c r="R4" s="227" t="s">
        <v>133</v>
      </c>
      <c r="S4" s="227"/>
      <c r="T4" s="227" t="s">
        <v>169</v>
      </c>
      <c r="U4" s="227"/>
      <c r="V4" s="227" t="s">
        <v>135</v>
      </c>
      <c r="W4" s="227"/>
      <c r="X4" s="227" t="s">
        <v>170</v>
      </c>
      <c r="Y4" s="227"/>
      <c r="Z4" s="227" t="s">
        <v>137</v>
      </c>
      <c r="AA4" s="227"/>
      <c r="AB4" s="227" t="s">
        <v>171</v>
      </c>
      <c r="AC4" s="227"/>
      <c r="AD4" s="227" t="s">
        <v>139</v>
      </c>
      <c r="AE4" s="227"/>
      <c r="AF4" s="227" t="s">
        <v>172</v>
      </c>
      <c r="AG4" s="227"/>
      <c r="AH4" s="227" t="s">
        <v>141</v>
      </c>
      <c r="AI4" s="227"/>
      <c r="AJ4" s="227" t="s">
        <v>142</v>
      </c>
      <c r="AK4" s="227"/>
      <c r="AL4" s="227" t="s">
        <v>143</v>
      </c>
      <c r="AM4" s="227"/>
      <c r="AN4" s="227" t="s">
        <v>144</v>
      </c>
      <c r="AO4" s="227"/>
      <c r="AP4" s="227" t="s">
        <v>145</v>
      </c>
      <c r="AQ4" s="227"/>
      <c r="AR4" s="227" t="s">
        <v>173</v>
      </c>
      <c r="AS4" s="227"/>
      <c r="AT4" s="227" t="s">
        <v>147</v>
      </c>
      <c r="AU4" s="227"/>
      <c r="AV4" s="227" t="s">
        <v>148</v>
      </c>
      <c r="AW4" s="227"/>
      <c r="AX4" s="227" t="s">
        <v>174</v>
      </c>
      <c r="AY4" s="227"/>
      <c r="AZ4" s="227" t="s">
        <v>175</v>
      </c>
      <c r="BA4" s="227"/>
      <c r="BB4" s="227" t="s">
        <v>151</v>
      </c>
      <c r="BC4" s="227"/>
      <c r="BD4" s="227" t="s">
        <v>152</v>
      </c>
      <c r="BE4" s="227"/>
      <c r="BF4" s="227" t="s">
        <v>153</v>
      </c>
      <c r="BG4" s="227"/>
      <c r="BH4" s="227" t="s">
        <v>154</v>
      </c>
      <c r="BI4" s="227"/>
      <c r="BJ4" s="227" t="s">
        <v>155</v>
      </c>
      <c r="BK4" s="227"/>
      <c r="BL4" s="227" t="s">
        <v>156</v>
      </c>
      <c r="BM4" s="227"/>
      <c r="BN4" s="227" t="s">
        <v>157</v>
      </c>
      <c r="BO4" s="227"/>
      <c r="BP4" s="227" t="s">
        <v>158</v>
      </c>
      <c r="BQ4" s="227"/>
      <c r="BR4" s="227" t="s">
        <v>176</v>
      </c>
      <c r="BS4" s="227"/>
      <c r="BT4" s="227" t="s">
        <v>177</v>
      </c>
      <c r="BU4" s="227"/>
      <c r="BV4" s="227" t="s">
        <v>178</v>
      </c>
      <c r="BW4" s="227"/>
      <c r="BX4" s="227" t="s">
        <v>162</v>
      </c>
      <c r="BY4" s="227"/>
      <c r="BZ4" s="227" t="s">
        <v>163</v>
      </c>
      <c r="CA4" s="227"/>
      <c r="CB4" s="227" t="s">
        <v>164</v>
      </c>
      <c r="CC4" s="227"/>
    </row>
    <row r="5" spans="1:81" s="4" customFormat="1" ht="11.25" customHeight="1" x14ac:dyDescent="0.2">
      <c r="A5" s="261"/>
      <c r="B5" s="1">
        <v>2021</v>
      </c>
      <c r="C5" s="1">
        <v>2022</v>
      </c>
      <c r="D5" s="1">
        <v>2021</v>
      </c>
      <c r="E5" s="1">
        <v>2022</v>
      </c>
      <c r="F5" s="1">
        <v>2021</v>
      </c>
      <c r="G5" s="1">
        <v>2022</v>
      </c>
      <c r="H5" s="1">
        <v>2021</v>
      </c>
      <c r="I5" s="1">
        <v>2022</v>
      </c>
      <c r="J5" s="1">
        <v>2021</v>
      </c>
      <c r="K5" s="1">
        <v>2022</v>
      </c>
      <c r="L5" s="1">
        <v>2021</v>
      </c>
      <c r="M5" s="1">
        <v>2022</v>
      </c>
      <c r="N5" s="1">
        <v>2021</v>
      </c>
      <c r="O5" s="1">
        <v>2022</v>
      </c>
      <c r="P5" s="1">
        <v>2021</v>
      </c>
      <c r="Q5" s="1">
        <v>2022</v>
      </c>
      <c r="R5" s="1">
        <v>2021</v>
      </c>
      <c r="S5" s="1">
        <v>2022</v>
      </c>
      <c r="T5" s="1">
        <v>2021</v>
      </c>
      <c r="U5" s="1">
        <v>2022</v>
      </c>
      <c r="V5" s="1">
        <v>2021</v>
      </c>
      <c r="W5" s="1">
        <v>2022</v>
      </c>
      <c r="X5" s="1">
        <v>2021</v>
      </c>
      <c r="Y5" s="1">
        <v>2022</v>
      </c>
      <c r="Z5" s="1">
        <v>2021</v>
      </c>
      <c r="AA5" s="1">
        <v>2022</v>
      </c>
      <c r="AB5" s="1">
        <v>2021</v>
      </c>
      <c r="AC5" s="1">
        <v>2022</v>
      </c>
      <c r="AD5" s="1">
        <v>2021</v>
      </c>
      <c r="AE5" s="1">
        <v>2022</v>
      </c>
      <c r="AF5" s="1">
        <v>2021</v>
      </c>
      <c r="AG5" s="1">
        <v>2022</v>
      </c>
      <c r="AH5" s="1">
        <v>2021</v>
      </c>
      <c r="AI5" s="1">
        <v>2022</v>
      </c>
      <c r="AJ5" s="1">
        <v>2021</v>
      </c>
      <c r="AK5" s="1">
        <v>2022</v>
      </c>
      <c r="AL5" s="1">
        <v>2021</v>
      </c>
      <c r="AM5" s="1">
        <v>2022</v>
      </c>
      <c r="AN5" s="1">
        <v>2021</v>
      </c>
      <c r="AO5" s="1">
        <v>2022</v>
      </c>
      <c r="AP5" s="1">
        <v>2021</v>
      </c>
      <c r="AQ5" s="1">
        <v>2022</v>
      </c>
      <c r="AR5" s="1">
        <v>2021</v>
      </c>
      <c r="AS5" s="1">
        <v>2022</v>
      </c>
      <c r="AT5" s="1">
        <v>2021</v>
      </c>
      <c r="AU5" s="1">
        <v>2022</v>
      </c>
      <c r="AV5" s="1">
        <v>2021</v>
      </c>
      <c r="AW5" s="1">
        <v>2022</v>
      </c>
      <c r="AX5" s="1">
        <v>2021</v>
      </c>
      <c r="AY5" s="1">
        <v>2022</v>
      </c>
      <c r="AZ5" s="1">
        <v>2021</v>
      </c>
      <c r="BA5" s="1">
        <v>2022</v>
      </c>
      <c r="BB5" s="1">
        <v>2021</v>
      </c>
      <c r="BC5" s="1">
        <v>2022</v>
      </c>
      <c r="BD5" s="1">
        <v>2021</v>
      </c>
      <c r="BE5" s="1">
        <v>2022</v>
      </c>
      <c r="BF5" s="1">
        <v>2021</v>
      </c>
      <c r="BG5" s="1">
        <v>2022</v>
      </c>
      <c r="BH5" s="1">
        <v>2021</v>
      </c>
      <c r="BI5" s="1">
        <v>2022</v>
      </c>
      <c r="BJ5" s="1">
        <v>2021</v>
      </c>
      <c r="BK5" s="1">
        <v>2022</v>
      </c>
      <c r="BL5" s="1">
        <v>2021</v>
      </c>
      <c r="BM5" s="1">
        <v>2022</v>
      </c>
      <c r="BN5" s="1">
        <v>2021</v>
      </c>
      <c r="BO5" s="1">
        <v>2022</v>
      </c>
      <c r="BP5" s="1">
        <v>2021</v>
      </c>
      <c r="BQ5" s="1">
        <v>2022</v>
      </c>
      <c r="BR5" s="1">
        <v>2021</v>
      </c>
      <c r="BS5" s="1">
        <v>2022</v>
      </c>
      <c r="BT5" s="1">
        <v>2021</v>
      </c>
      <c r="BU5" s="1">
        <v>2022</v>
      </c>
      <c r="BV5" s="1">
        <v>2021</v>
      </c>
      <c r="BW5" s="1">
        <v>2022</v>
      </c>
      <c r="BX5" s="1">
        <v>2021</v>
      </c>
      <c r="BY5" s="1">
        <v>2022</v>
      </c>
      <c r="BZ5" s="1">
        <v>2021</v>
      </c>
      <c r="CA5" s="1">
        <v>2022</v>
      </c>
      <c r="CB5" s="1">
        <v>2021</v>
      </c>
      <c r="CC5" s="1">
        <v>2022</v>
      </c>
    </row>
    <row r="6" spans="1:81" s="31" customFormat="1" ht="21.75" customHeight="1" x14ac:dyDescent="0.2">
      <c r="A6" s="107" t="s">
        <v>71</v>
      </c>
      <c r="B6" s="108"/>
      <c r="C6" s="108"/>
      <c r="D6" s="108"/>
      <c r="E6" s="108"/>
      <c r="F6" s="108"/>
      <c r="G6" s="108"/>
      <c r="H6" s="108"/>
      <c r="I6" s="108"/>
      <c r="J6" s="109"/>
      <c r="K6" s="108"/>
      <c r="L6" s="108"/>
      <c r="M6" s="108"/>
      <c r="N6" s="108"/>
      <c r="O6" s="108"/>
      <c r="P6" s="108"/>
      <c r="Q6" s="109"/>
      <c r="R6" s="108"/>
      <c r="S6" s="108"/>
      <c r="T6" s="109"/>
      <c r="U6" s="108"/>
      <c r="V6" s="108"/>
      <c r="W6" s="108"/>
      <c r="X6" s="108"/>
      <c r="Y6" s="109"/>
      <c r="Z6" s="108"/>
      <c r="AA6" s="108"/>
      <c r="AB6" s="108"/>
      <c r="AC6" s="108"/>
      <c r="AD6" s="108"/>
      <c r="AE6" s="108"/>
      <c r="AF6" s="109"/>
      <c r="AG6" s="108"/>
      <c r="AH6" s="108"/>
      <c r="AI6" s="108"/>
      <c r="AJ6" s="108"/>
      <c r="AK6" s="109"/>
      <c r="AL6" s="108"/>
      <c r="AM6" s="108"/>
      <c r="AN6" s="109"/>
      <c r="AO6" s="108"/>
      <c r="AP6" s="108"/>
      <c r="AQ6" s="108"/>
      <c r="AR6" s="108"/>
      <c r="AS6" s="108"/>
      <c r="AT6" s="108"/>
      <c r="AU6" s="109"/>
      <c r="AV6" s="108"/>
      <c r="AW6" s="108"/>
      <c r="AX6" s="108"/>
      <c r="AY6" s="108"/>
      <c r="AZ6" s="109"/>
      <c r="BA6" s="108"/>
      <c r="BB6" s="108"/>
      <c r="BC6" s="109"/>
      <c r="BD6" s="108"/>
      <c r="BE6" s="108"/>
      <c r="BF6" s="108"/>
      <c r="BG6" s="108"/>
      <c r="BH6" s="109"/>
      <c r="BI6" s="108"/>
      <c r="BJ6" s="108"/>
      <c r="BK6" s="108"/>
      <c r="BL6" s="108"/>
      <c r="BM6" s="108"/>
      <c r="BN6" s="108"/>
      <c r="BO6" s="108"/>
      <c r="BP6" s="108"/>
      <c r="BQ6" s="109"/>
      <c r="BR6" s="108"/>
      <c r="BS6" s="108"/>
      <c r="BT6" s="109"/>
      <c r="BU6" s="108"/>
      <c r="BV6" s="108"/>
      <c r="BW6" s="109"/>
      <c r="BX6" s="108"/>
      <c r="BY6" s="108"/>
      <c r="BZ6" s="108"/>
      <c r="CA6" s="108"/>
      <c r="CB6" s="97"/>
      <c r="CC6" s="97"/>
    </row>
    <row r="7" spans="1:81" s="31" customFormat="1" ht="21.75" customHeight="1" x14ac:dyDescent="0.2">
      <c r="A7" s="103" t="s">
        <v>72</v>
      </c>
      <c r="B7" s="181">
        <f>IFERROR('8'!B8/'8'!B12,0)</f>
        <v>1.3908204489222784</v>
      </c>
      <c r="C7" s="181">
        <f>IFERROR('8'!C8/'8'!C12,0)</f>
        <v>1.4397868525610065</v>
      </c>
      <c r="D7" s="181">
        <f>IFERROR('8'!D8/'8'!D12,0)</f>
        <v>1.6997732093176998</v>
      </c>
      <c r="E7" s="181">
        <f>IFERROR('8'!E8/'8'!E12,0)</f>
        <v>1.0496877990412131E-2</v>
      </c>
      <c r="F7" s="181">
        <f>IFERROR('8'!F8/'8'!F12,0)</f>
        <v>3.0475646815869446</v>
      </c>
      <c r="G7" s="181">
        <f>IFERROR('8'!G8/'8'!G12,0)</f>
        <v>1.5218758492177491</v>
      </c>
      <c r="H7" s="181">
        <f>IFERROR('8'!H8/'8'!H12,0)</f>
        <v>0.39141276188105595</v>
      </c>
      <c r="I7" s="181">
        <f>IFERROR('8'!I8/'8'!I12,0)</f>
        <v>0.41890800168589115</v>
      </c>
      <c r="J7" s="181">
        <f>IFERROR('8'!J8/'8'!J12,0)</f>
        <v>3.2011729971750138</v>
      </c>
      <c r="K7" s="181">
        <f>IFERROR('8'!K8/'8'!K12,0)</f>
        <v>2.3047560677827685</v>
      </c>
      <c r="L7" s="181">
        <f>IFERROR('8'!L8/'8'!L12,0)</f>
        <v>2.0801198149013385E-2</v>
      </c>
      <c r="M7" s="181">
        <f>IFERROR('8'!M8/'8'!M12,0)</f>
        <v>2.0801198149013385E-2</v>
      </c>
      <c r="N7" s="181">
        <f>IFERROR('8'!N8/'8'!N12,0)</f>
        <v>0.52736724842183436</v>
      </c>
      <c r="O7" s="181">
        <f>IFERROR('8'!O8/'8'!O12,0)</f>
        <v>1.5950831779973973</v>
      </c>
      <c r="P7" s="181">
        <f>IFERROR('8'!P8/'8'!P12,0)</f>
        <v>0</v>
      </c>
      <c r="Q7" s="181">
        <f>IFERROR('8'!Q8/'8'!Q12,0)</f>
        <v>0</v>
      </c>
      <c r="R7" s="181">
        <f>IFERROR('8'!R8/'8'!R12,0)</f>
        <v>6.4403752211930971</v>
      </c>
      <c r="S7" s="181">
        <f>IFERROR('8'!S8/'8'!S12,0)</f>
        <v>7.8773974337828383</v>
      </c>
      <c r="T7" s="181">
        <f>IFERROR('8'!T8/'8'!T12,0)</f>
        <v>4.5194439110688025</v>
      </c>
      <c r="U7" s="181">
        <f>IFERROR('8'!U8/'8'!U12,0)</f>
        <v>3.1215273336570579</v>
      </c>
      <c r="V7" s="181">
        <f>IFERROR('8'!V8/'8'!V12,0)</f>
        <v>0</v>
      </c>
      <c r="W7" s="181">
        <f>IFERROR('8'!W8/'8'!W12,0)</f>
        <v>0</v>
      </c>
      <c r="X7" s="181">
        <f>IFERROR('8'!X8/'8'!X12,0)</f>
        <v>17.882446639057026</v>
      </c>
      <c r="Y7" s="181">
        <f>IFERROR('8'!Y8/'8'!Y12,0)</f>
        <v>11.400043962408402</v>
      </c>
      <c r="Z7" s="181">
        <f>IFERROR('8'!Z8/'8'!Z12,0)</f>
        <v>2.3667293863970769</v>
      </c>
      <c r="AA7" s="181">
        <f>IFERROR('8'!AA8/'8'!AA12,0)</f>
        <v>6.3114052299529853</v>
      </c>
      <c r="AB7" s="181">
        <f>IFERROR('8'!AB8/'8'!AB12,0)</f>
        <v>0.65235571129051051</v>
      </c>
      <c r="AC7" s="181">
        <f>IFERROR('8'!AC8/'8'!AC12,0)</f>
        <v>0.57048189384645398</v>
      </c>
      <c r="AD7" s="181">
        <f>IFERROR('8'!AD8/'8'!AD12,0)</f>
        <v>1.1347634177195205</v>
      </c>
      <c r="AE7" s="181">
        <f>IFERROR('8'!AE8/'8'!AE12,0)</f>
        <v>1.0541737476608593</v>
      </c>
      <c r="AF7" s="181">
        <f>IFERROR('8'!AF8/'8'!AF12,0)</f>
        <v>1.3193926042254249</v>
      </c>
      <c r="AG7" s="181">
        <f>IFERROR('8'!AG8/'8'!AG12,0)</f>
        <v>1.2573787094162538</v>
      </c>
      <c r="AH7" s="181">
        <f>IFERROR('8'!AH8/'8'!AH12,0)</f>
        <v>2.0924298463424291</v>
      </c>
      <c r="AI7" s="181">
        <f>IFERROR('8'!AI8/'8'!AI12,0)</f>
        <v>4.8794258731636528</v>
      </c>
      <c r="AJ7" s="181">
        <f>IFERROR('8'!AJ8/'8'!AJ12,0)</f>
        <v>1.7643953824874699</v>
      </c>
      <c r="AK7" s="181">
        <f>IFERROR('8'!AK8/'8'!AK12,0)</f>
        <v>1.1515033997314577</v>
      </c>
      <c r="AL7" s="181">
        <f>IFERROR('8'!AL8/'8'!AL12,0)</f>
        <v>2.2912333951546757</v>
      </c>
      <c r="AM7" s="181">
        <f>IFERROR('8'!AM8/'8'!AM12,0)</f>
        <v>1.8027575729879846</v>
      </c>
      <c r="AN7" s="181">
        <f>IFERROR('8'!AN8/'8'!AN12,0)</f>
        <v>2.7511233425829604</v>
      </c>
      <c r="AO7" s="181">
        <f>IFERROR('8'!AO8/'8'!AO12,0)</f>
        <v>3.5219994967304875</v>
      </c>
      <c r="AP7" s="181">
        <f>IFERROR('8'!AP8/'8'!AP12,0)</f>
        <v>1.1410595826630545</v>
      </c>
      <c r="AQ7" s="181">
        <f>IFERROR('8'!AQ8/'8'!AQ12,0)</f>
        <v>1.5920949006478158</v>
      </c>
      <c r="AR7" s="181">
        <f>IFERROR('8'!AR8/'8'!AR12,0)</f>
        <v>2.3920227050073866</v>
      </c>
      <c r="AS7" s="181">
        <f>IFERROR('8'!AS8/'8'!AS12,0)</f>
        <v>1.19267748865362</v>
      </c>
      <c r="AT7" s="181">
        <f>IFERROR('8'!AT8/'8'!AT12,0)</f>
        <v>1.7364503387559471</v>
      </c>
      <c r="AU7" s="181">
        <f>IFERROR('8'!AU8/'8'!AU12,0)</f>
        <v>1.9508869060154084</v>
      </c>
      <c r="AV7" s="181">
        <f>IFERROR('8'!AV8/'8'!AV12,0)</f>
        <v>0</v>
      </c>
      <c r="AW7" s="181">
        <f>IFERROR('8'!AW8/'8'!AW12,0)</f>
        <v>0</v>
      </c>
      <c r="AX7" s="181">
        <f>IFERROR('8'!AX8/'8'!AX12,0)</f>
        <v>0</v>
      </c>
      <c r="AY7" s="181">
        <f>IFERROR('8'!AY8/'8'!AY12,0)</f>
        <v>0</v>
      </c>
      <c r="AZ7" s="181">
        <f>IFERROR('8'!AZ8/'8'!AZ12,0)</f>
        <v>1.0323538321720691</v>
      </c>
      <c r="BA7" s="181">
        <f>IFERROR('8'!BA8/'8'!BA12,0)</f>
        <v>2.3399207369323052</v>
      </c>
      <c r="BB7" s="181">
        <f>IFERROR('8'!BB8/'8'!BB12,0)</f>
        <v>1.9716024564045673</v>
      </c>
      <c r="BC7" s="181">
        <f>IFERROR('8'!BC8/'8'!BC12,0)</f>
        <v>3.2373589591066225</v>
      </c>
      <c r="BD7" s="181">
        <f>IFERROR('8'!BD8/'8'!BD12,0)</f>
        <v>0</v>
      </c>
      <c r="BE7" s="181">
        <f>IFERROR('8'!BE8/'8'!BE12,0)</f>
        <v>0</v>
      </c>
      <c r="BF7" s="181">
        <f>IFERROR('8'!BF8/'8'!BF12,0)</f>
        <v>2.1078322097924245</v>
      </c>
      <c r="BG7" s="181">
        <f>IFERROR('8'!BG8/'8'!BG12,0)</f>
        <v>1.6469512872299792</v>
      </c>
      <c r="BH7" s="181">
        <f>IFERROR('8'!BH8/'8'!BH12,0)</f>
        <v>4.3688201000118632</v>
      </c>
      <c r="BI7" s="181">
        <f>IFERROR('8'!BI8/'8'!BI12,0)</f>
        <v>3.1849120558955408</v>
      </c>
      <c r="BJ7" s="181">
        <f>IFERROR('8'!BJ8/'8'!BJ12,0)</f>
        <v>1.7421214818146578</v>
      </c>
      <c r="BK7" s="181">
        <f>IFERROR('8'!BK8/'8'!BK12,0)</f>
        <v>1.2936024280847305</v>
      </c>
      <c r="BL7" s="181">
        <f>IFERROR('8'!BL8/'8'!BL12,0)</f>
        <v>1.7786961599485009</v>
      </c>
      <c r="BM7" s="181">
        <f>IFERROR('8'!BM8/'8'!BM12,0)</f>
        <v>1.7246423277796568</v>
      </c>
      <c r="BN7" s="181">
        <f>IFERROR('8'!BN8/'8'!BN12,0)</f>
        <v>7.096632057461072</v>
      </c>
      <c r="BO7" s="181">
        <f>IFERROR('8'!BO8/'8'!BO12,0)</f>
        <v>7.4851908347166587</v>
      </c>
      <c r="BP7" s="181">
        <f>IFERROR('8'!BP8/'8'!BP12,0)</f>
        <v>2.9728531425015556</v>
      </c>
      <c r="BQ7" s="181">
        <f>IFERROR('8'!BQ8/'8'!BQ12,0)</f>
        <v>0.30040667808219179</v>
      </c>
      <c r="BR7" s="181">
        <f>IFERROR('8'!BR8/'8'!BR12,0)</f>
        <v>2.2701030946442589</v>
      </c>
      <c r="BS7" s="181">
        <f>IFERROR('8'!BS8/'8'!BS12,0)</f>
        <v>0.69177978290380404</v>
      </c>
      <c r="BT7" s="181">
        <f>IFERROR('8'!BT8/'8'!BT12,0)</f>
        <v>1.0426717284850842</v>
      </c>
      <c r="BU7" s="181">
        <f>IFERROR('8'!BU8/'8'!BU12,0)</f>
        <v>1.170698093403824</v>
      </c>
      <c r="BV7" s="181">
        <f>IFERROR('8'!BV8/'8'!BV12,0)</f>
        <v>1.9741406924345395</v>
      </c>
      <c r="BW7" s="181">
        <f>IFERROR('8'!BW8/'8'!BW12,0)</f>
        <v>1.7468746199748248</v>
      </c>
      <c r="BX7" s="181">
        <f>IFERROR('8'!BX8/'8'!BX12,0)</f>
        <v>1.059939726139975</v>
      </c>
      <c r="BY7" s="181">
        <f>IFERROR('8'!BY8/'8'!BY12,0)</f>
        <v>2.6176804536083194</v>
      </c>
      <c r="BZ7" s="181">
        <f>IFERROR('8'!BZ8/'8'!BZ12,0)</f>
        <v>46.972459016393444</v>
      </c>
      <c r="CA7" s="181">
        <f>IFERROR('8'!CA8/'8'!CA12,0)</f>
        <v>19.182028592561881</v>
      </c>
      <c r="CB7" s="181">
        <f>IFERROR('8'!CB8/'8'!CB12,0)</f>
        <v>1.1667892286015498</v>
      </c>
      <c r="CC7" s="181">
        <f>IFERROR('8'!CC8/'8'!CC12,0)</f>
        <v>1.1808459102602948</v>
      </c>
    </row>
    <row r="8" spans="1:81" s="31" customFormat="1" ht="21.75" customHeight="1" x14ac:dyDescent="0.2">
      <c r="A8" s="107" t="s">
        <v>73</v>
      </c>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row>
    <row r="9" spans="1:81" s="31" customFormat="1" ht="21.75" customHeight="1" x14ac:dyDescent="0.2">
      <c r="A9" s="104" t="s">
        <v>74</v>
      </c>
      <c r="B9" s="92">
        <f>IFERROR('8'!B12/'8'!B14,0)</f>
        <v>0.45011146315167488</v>
      </c>
      <c r="C9" s="92">
        <f>IFERROR('8'!C12/'8'!C14,0)</f>
        <v>0.51064913210498963</v>
      </c>
      <c r="D9" s="92">
        <f>IFERROR('8'!D12/'8'!D14,0)</f>
        <v>1</v>
      </c>
      <c r="E9" s="92">
        <f>IFERROR('8'!E12/'8'!E14,0)</f>
        <v>1</v>
      </c>
      <c r="F9" s="92">
        <f>IFERROR('8'!F12/'8'!F14,0)</f>
        <v>0.28277861566144363</v>
      </c>
      <c r="G9" s="92">
        <f>IFERROR('8'!G12/'8'!G14,0)</f>
        <v>0.23576017914564126</v>
      </c>
      <c r="H9" s="92">
        <f>IFERROR('8'!H12/'8'!H14,0)</f>
        <v>0.1959232527862369</v>
      </c>
      <c r="I9" s="92">
        <f>IFERROR('8'!I12/'8'!I14,0)</f>
        <v>0.1360610439829138</v>
      </c>
      <c r="J9" s="92">
        <f>IFERROR('8'!J12/'8'!J14,0)</f>
        <v>1</v>
      </c>
      <c r="K9" s="92">
        <f>IFERROR('8'!K12/'8'!K14,0)</f>
        <v>1</v>
      </c>
      <c r="L9" s="92">
        <f>IFERROR('8'!L12/'8'!L14,0)</f>
        <v>1</v>
      </c>
      <c r="M9" s="92">
        <f>IFERROR('8'!M12/'8'!M14,0)</f>
        <v>1</v>
      </c>
      <c r="N9" s="92">
        <f>IFERROR('8'!N12/'8'!N14,0)</f>
        <v>5.8196073007654309E-2</v>
      </c>
      <c r="O9" s="92">
        <f>IFERROR('8'!O12/'8'!O14,0)</f>
        <v>6.8673270005047901E-2</v>
      </c>
      <c r="P9" s="92">
        <f>IFERROR('8'!P12/'8'!P14,0)</f>
        <v>0</v>
      </c>
      <c r="Q9" s="92">
        <f>IFERROR('8'!Q12/'8'!Q14,0)</f>
        <v>0</v>
      </c>
      <c r="R9" s="92">
        <f>IFERROR('8'!R12/'8'!R14,0)</f>
        <v>1</v>
      </c>
      <c r="S9" s="92">
        <f>IFERROR('8'!S12/'8'!S14,0)</f>
        <v>1</v>
      </c>
      <c r="T9" s="92">
        <f>IFERROR('8'!T12/'8'!T14,0)</f>
        <v>0.21809405090077139</v>
      </c>
      <c r="U9" s="92">
        <f>IFERROR('8'!U12/'8'!U14,0)</f>
        <v>0.32988528696224978</v>
      </c>
      <c r="V9" s="92">
        <f>IFERROR('8'!V12/'8'!V14,0)</f>
        <v>0</v>
      </c>
      <c r="W9" s="92">
        <f>IFERROR('8'!W12/'8'!W14,0)</f>
        <v>0</v>
      </c>
      <c r="X9" s="92">
        <f>IFERROR('8'!X12/'8'!X14,0)</f>
        <v>0.13496762939030232</v>
      </c>
      <c r="Y9" s="92">
        <f>IFERROR('8'!Y12/'8'!Y14,0)</f>
        <v>0.45051467356172031</v>
      </c>
      <c r="Z9" s="92">
        <f>IFERROR('8'!Z12/'8'!Z14,0)</f>
        <v>0.75111625859661513</v>
      </c>
      <c r="AA9" s="92">
        <f>IFERROR('8'!AA12/'8'!AA14,0)</f>
        <v>0.25719339110178052</v>
      </c>
      <c r="AB9" s="92">
        <f>IFERROR('8'!AB12/'8'!AB14,0)</f>
        <v>1</v>
      </c>
      <c r="AC9" s="92">
        <f>IFERROR('8'!AC12/'8'!AC14,0)</f>
        <v>0.73225307334129164</v>
      </c>
      <c r="AD9" s="92">
        <f>IFERROR('8'!AD12/'8'!AD14,0)</f>
        <v>0.53153416983085922</v>
      </c>
      <c r="AE9" s="92">
        <f>IFERROR('8'!AE12/'8'!AE14,0)</f>
        <v>0.60732387067897209</v>
      </c>
      <c r="AF9" s="92">
        <f>IFERROR('8'!AF12/'8'!AF14,0)</f>
        <v>0.65992015073703836</v>
      </c>
      <c r="AG9" s="92">
        <f>IFERROR('8'!AG12/'8'!AG14,0)</f>
        <v>0.75087886969658724</v>
      </c>
      <c r="AH9" s="92">
        <f>IFERROR('8'!AH12/'8'!AH14,0)</f>
        <v>0.99204293550004108</v>
      </c>
      <c r="AI9" s="92">
        <f>IFERROR('8'!AI12/'8'!AI14,0)</f>
        <v>0.95807134011870887</v>
      </c>
      <c r="AJ9" s="92">
        <f>IFERROR('8'!AJ12/'8'!AJ14,0)</f>
        <v>0.97283569749145882</v>
      </c>
      <c r="AK9" s="92">
        <f>IFERROR('8'!AK12/'8'!AK14,0)</f>
        <v>0.49310891536698181</v>
      </c>
      <c r="AL9" s="92">
        <f>IFERROR('8'!AL12/'8'!AL14,0)</f>
        <v>0.13464763648193381</v>
      </c>
      <c r="AM9" s="92">
        <f>IFERROR('8'!AM12/'8'!AM14,0)</f>
        <v>0.18326106031387437</v>
      </c>
      <c r="AN9" s="92">
        <f>IFERROR('8'!AN12/'8'!AN14,0)</f>
        <v>0.5527282450241896</v>
      </c>
      <c r="AO9" s="92">
        <f>IFERROR('8'!AO12/'8'!AO14,0)</f>
        <v>0.48769574647254355</v>
      </c>
      <c r="AP9" s="92">
        <f>IFERROR('8'!AP12/'8'!AP14,0)</f>
        <v>1</v>
      </c>
      <c r="AQ9" s="92">
        <f>IFERROR('8'!AQ12/'8'!AQ14,0)</f>
        <v>0.91784226009610037</v>
      </c>
      <c r="AR9" s="92">
        <f>IFERROR('8'!AR12/'8'!AR14,0)</f>
        <v>0.53250065799624258</v>
      </c>
      <c r="AS9" s="92">
        <f>IFERROR('8'!AS12/'8'!AS14,0)</f>
        <v>0.77685400823849593</v>
      </c>
      <c r="AT9" s="92">
        <f>IFERROR('8'!AT12/'8'!AT14,0)</f>
        <v>0.69941976425648644</v>
      </c>
      <c r="AU9" s="92">
        <f>IFERROR('8'!AU12/'8'!AU14,0)</f>
        <v>0.89099961232381142</v>
      </c>
      <c r="AV9" s="92">
        <f>IFERROR('8'!AV12/'8'!AV14,0)</f>
        <v>0</v>
      </c>
      <c r="AW9" s="92">
        <f>IFERROR('8'!AW12/'8'!AW14,0)</f>
        <v>0</v>
      </c>
      <c r="AX9" s="92">
        <f>IFERROR('8'!AX12/'8'!AX14,0)</f>
        <v>0</v>
      </c>
      <c r="AY9" s="92">
        <f>IFERROR('8'!AY12/'8'!AY14,0)</f>
        <v>0</v>
      </c>
      <c r="AZ9" s="92">
        <f>IFERROR('8'!AZ12/'8'!AZ14,0)</f>
        <v>0.10009217819500539</v>
      </c>
      <c r="BA9" s="92">
        <f>IFERROR('8'!BA12/'8'!BA14,0)</f>
        <v>0.11000742338011241</v>
      </c>
      <c r="BB9" s="92">
        <f>IFERROR('8'!BB12/'8'!BB14,0)</f>
        <v>0.97922421960794515</v>
      </c>
      <c r="BC9" s="92">
        <f>IFERROR('8'!BC12/'8'!BC14,0)</f>
        <v>0.9658301336263867</v>
      </c>
      <c r="BD9" s="92">
        <f>IFERROR('8'!BD12/'8'!BD14,0)</f>
        <v>0</v>
      </c>
      <c r="BE9" s="92">
        <f>IFERROR('8'!BE12/'8'!BE14,0)</f>
        <v>0</v>
      </c>
      <c r="BF9" s="92">
        <f>IFERROR('8'!BF12/'8'!BF14,0)</f>
        <v>0.23793836309583763</v>
      </c>
      <c r="BG9" s="92">
        <f>IFERROR('8'!BG12/'8'!BG14,0)</f>
        <v>0.33905627210832523</v>
      </c>
      <c r="BH9" s="92">
        <f>IFERROR('8'!BH12/'8'!BH14,0)</f>
        <v>1</v>
      </c>
      <c r="BI9" s="92">
        <f>IFERROR('8'!BI12/'8'!BI14,0)</f>
        <v>1</v>
      </c>
      <c r="BJ9" s="92">
        <f>IFERROR('8'!BJ12/'8'!BJ14,0)</f>
        <v>0.32851869390512395</v>
      </c>
      <c r="BK9" s="92">
        <f>IFERROR('8'!BK12/'8'!BK14,0)</f>
        <v>0.5904299050093198</v>
      </c>
      <c r="BL9" s="92">
        <f>IFERROR('8'!BL12/'8'!BL14,0)</f>
        <v>0.51372424009645934</v>
      </c>
      <c r="BM9" s="92">
        <f>IFERROR('8'!BM12/'8'!BM14,0)</f>
        <v>0.74671219061841443</v>
      </c>
      <c r="BN9" s="92">
        <f>IFERROR('8'!BN12/'8'!BN14,0)</f>
        <v>0.21478061113991515</v>
      </c>
      <c r="BO9" s="92">
        <f>IFERROR('8'!BO12/'8'!BO14,0)</f>
        <v>0.22052353585107501</v>
      </c>
      <c r="BP9" s="92">
        <f>IFERROR('8'!BP12/'8'!BP14,0)</f>
        <v>8.617372827391126E-2</v>
      </c>
      <c r="BQ9" s="92">
        <f>IFERROR('8'!BQ12/'8'!BQ14,0)</f>
        <v>0.48967796756093085</v>
      </c>
      <c r="BR9" s="92">
        <f>IFERROR('8'!BR12/'8'!BR14,0)</f>
        <v>0.26983730911673687</v>
      </c>
      <c r="BS9" s="92">
        <f>IFERROR('8'!BS12/'8'!BS14,0)</f>
        <v>0.36349640401228006</v>
      </c>
      <c r="BT9" s="92">
        <f>IFERROR('8'!BT12/'8'!BT14,0)</f>
        <v>0.22930721982027497</v>
      </c>
      <c r="BU9" s="92">
        <f>IFERROR('8'!BU12/'8'!BU14,0)</f>
        <v>0.17721134523283441</v>
      </c>
      <c r="BV9" s="92">
        <f>IFERROR('8'!BV12/'8'!BV14,0)</f>
        <v>0.8201032921905218</v>
      </c>
      <c r="BW9" s="92">
        <f>IFERROR('8'!BW12/'8'!BW14,0)</f>
        <v>0.85697192285687962</v>
      </c>
      <c r="BX9" s="92">
        <f>IFERROR('8'!BX12/'8'!BX14,0)</f>
        <v>0.1331901449152629</v>
      </c>
      <c r="BY9" s="92">
        <f>IFERROR('8'!BY12/'8'!BY14,0)</f>
        <v>0.18874125263743993</v>
      </c>
      <c r="BZ9" s="92">
        <f>IFERROR('8'!BZ12/'8'!BZ14,0)</f>
        <v>1</v>
      </c>
      <c r="CA9" s="92">
        <f>IFERROR('8'!CA12/'8'!CA14,0)</f>
        <v>1</v>
      </c>
      <c r="CB9" s="92">
        <f>IFERROR('8'!CB12/'8'!CB14,0)</f>
        <v>0.42521145496715756</v>
      </c>
      <c r="CC9" s="92">
        <f>IFERROR('8'!CC12/'8'!CC14,0)</f>
        <v>0.4845349872992919</v>
      </c>
    </row>
    <row r="10" spans="1:81" s="31" customFormat="1" ht="21.75" customHeight="1" x14ac:dyDescent="0.2">
      <c r="A10" s="104" t="s">
        <v>75</v>
      </c>
      <c r="B10" s="92">
        <f>IFERROR('8'!B14/'8'!B26,0)</f>
        <v>2.1832146134470394</v>
      </c>
      <c r="C10" s="92">
        <f>IFERROR('8'!C14/'8'!C26,0)</f>
        <v>2.4625685547209843</v>
      </c>
      <c r="D10" s="92">
        <f>IFERROR('8'!D14/'8'!D26,0)</f>
        <v>6.9079314579147136E-2</v>
      </c>
      <c r="E10" s="92">
        <f>IFERROR('8'!E14/'8'!E26,0)</f>
        <v>0.48969634479714808</v>
      </c>
      <c r="F10" s="92">
        <f>IFERROR('8'!F14/'8'!F26,0)</f>
        <v>0.40625295343363382</v>
      </c>
      <c r="G10" s="92">
        <f>IFERROR('8'!G14/'8'!G26,0)</f>
        <v>0.41952227821774257</v>
      </c>
      <c r="H10" s="92">
        <f>IFERROR('8'!H14/'8'!H26,0)</f>
        <v>2.2740168766068738</v>
      </c>
      <c r="I10" s="92">
        <f>IFERROR('8'!I14/'8'!I26,0)</f>
        <v>3.3185883641900999</v>
      </c>
      <c r="J10" s="92">
        <f>IFERROR('8'!J14/'8'!J26,0)</f>
        <v>0.13864728761767073</v>
      </c>
      <c r="K10" s="92">
        <f>IFERROR('8'!K14/'8'!K26,0)</f>
        <v>0.23693090423157706</v>
      </c>
      <c r="L10" s="92">
        <f>IFERROR('8'!L14/'8'!L26,0)</f>
        <v>0.14738422429529402</v>
      </c>
      <c r="M10" s="92">
        <f>IFERROR('8'!M14/'8'!M26,0)</f>
        <v>0.14738422429529402</v>
      </c>
      <c r="N10" s="92">
        <f>IFERROR('8'!N14/'8'!N26,0)</f>
        <v>0.37938209579777921</v>
      </c>
      <c r="O10" s="92">
        <f>IFERROR('8'!O14/'8'!O26,0)</f>
        <v>0.33093517704420111</v>
      </c>
      <c r="P10" s="92">
        <f>IFERROR('8'!P14/'8'!P26,0)</f>
        <v>0</v>
      </c>
      <c r="Q10" s="92">
        <f>IFERROR('8'!Q14/'8'!Q26,0)</f>
        <v>0</v>
      </c>
      <c r="R10" s="92">
        <f>IFERROR('8'!R14/'8'!R26,0)</f>
        <v>0.10197882120725744</v>
      </c>
      <c r="S10" s="92">
        <f>IFERROR('8'!S14/'8'!S26,0)</f>
        <v>8.2809415134931549E-2</v>
      </c>
      <c r="T10" s="92">
        <f>IFERROR('8'!T14/'8'!T26,0)</f>
        <v>0.25838519068431665</v>
      </c>
      <c r="U10" s="92">
        <f>IFERROR('8'!U14/'8'!U26,0)</f>
        <v>0.2858767914251627</v>
      </c>
      <c r="V10" s="92">
        <f>IFERROR('8'!V14/'8'!V26,0)</f>
        <v>0</v>
      </c>
      <c r="W10" s="92">
        <f>IFERROR('8'!W14/'8'!W26,0)</f>
        <v>0</v>
      </c>
      <c r="X10" s="92">
        <f>IFERROR('8'!X14/'8'!X26,0)</f>
        <v>0.21531138762384716</v>
      </c>
      <c r="Y10" s="92">
        <f>IFERROR('8'!Y14/'8'!Y26,0)</f>
        <v>8.564030814991723E-2</v>
      </c>
      <c r="Z10" s="92">
        <f>IFERROR('8'!Z14/'8'!Z26,0)</f>
        <v>0.25331720679308173</v>
      </c>
      <c r="AA10" s="92">
        <f>IFERROR('8'!AA14/'8'!AA26,0)</f>
        <v>0.42851251207759666</v>
      </c>
      <c r="AB10" s="92">
        <f>IFERROR('8'!AB14/'8'!AB26,0)</f>
        <v>0.88332854144350292</v>
      </c>
      <c r="AC10" s="92">
        <f>IFERROR('8'!AC14/'8'!AC26,0)</f>
        <v>0.65109917829643127</v>
      </c>
      <c r="AD10" s="92">
        <f>IFERROR('8'!AD14/'8'!AD26,0)</f>
        <v>0.82374334854922937</v>
      </c>
      <c r="AE10" s="92">
        <f>IFERROR('8'!AE14/'8'!AE26,0)</f>
        <v>0.68481019452521996</v>
      </c>
      <c r="AF10" s="92">
        <f>IFERROR('8'!AF14/'8'!AF26,0)</f>
        <v>0.48058098137814476</v>
      </c>
      <c r="AG10" s="92">
        <f>IFERROR('8'!AG14/'8'!AG26,0)</f>
        <v>0.51729496502332339</v>
      </c>
      <c r="AH10" s="92">
        <f>IFERROR('8'!AH14/'8'!AH26,0)</f>
        <v>0.88622908525815369</v>
      </c>
      <c r="AI10" s="92">
        <f>IFERROR('8'!AI14/'8'!AI26,0)</f>
        <v>0.26040942218196095</v>
      </c>
      <c r="AJ10" s="92">
        <f>IFERROR('8'!AJ14/'8'!AJ26,0)</f>
        <v>1.1815982277592314</v>
      </c>
      <c r="AK10" s="92">
        <f>IFERROR('8'!AK14/'8'!AK26,0)</f>
        <v>1.4274174437286844</v>
      </c>
      <c r="AL10" s="92">
        <f>IFERROR('8'!AL14/'8'!AL26,0)</f>
        <v>2.2905848369765494</v>
      </c>
      <c r="AM10" s="92">
        <f>IFERROR('8'!AM14/'8'!AM26,0)</f>
        <v>2.1469826238899183</v>
      </c>
      <c r="AN10" s="92">
        <f>IFERROR('8'!AN14/'8'!AN26,0)</f>
        <v>0.29839491093414233</v>
      </c>
      <c r="AO10" s="92">
        <f>IFERROR('8'!AO14/'8'!AO26,0)</f>
        <v>0.53568430417614954</v>
      </c>
      <c r="AP10" s="92">
        <f>IFERROR('8'!AP14/'8'!AP26,0)</f>
        <v>0.61103508143123986</v>
      </c>
      <c r="AQ10" s="92">
        <f>IFERROR('8'!AQ14/'8'!AQ26,0)</f>
        <v>0.59063788288110508</v>
      </c>
      <c r="AR10" s="92">
        <f>IFERROR('8'!AR14/'8'!AR26,0)</f>
        <v>0.33919978859236105</v>
      </c>
      <c r="AS10" s="92">
        <f>IFERROR('8'!AS14/'8'!AS26,0)</f>
        <v>0.2116437710550747</v>
      </c>
      <c r="AT10" s="92">
        <f>IFERROR('8'!AT14/'8'!AT26,0)</f>
        <v>0.77576735006207975</v>
      </c>
      <c r="AU10" s="92">
        <f>IFERROR('8'!AU14/'8'!AU26,0)</f>
        <v>0.60996004511977997</v>
      </c>
      <c r="AV10" s="92">
        <f>IFERROR('8'!AV14/'8'!AV26,0)</f>
        <v>0</v>
      </c>
      <c r="AW10" s="92">
        <f>IFERROR('8'!AW14/'8'!AW26,0)</f>
        <v>0</v>
      </c>
      <c r="AX10" s="92">
        <f>IFERROR('8'!AX14/'8'!AX26,0)</f>
        <v>0</v>
      </c>
      <c r="AY10" s="92">
        <f>IFERROR('8'!AY14/'8'!AY26,0)</f>
        <v>0</v>
      </c>
      <c r="AZ10" s="92">
        <f>IFERROR('8'!AZ14/'8'!AZ26,0)</f>
        <v>343.53750000000002</v>
      </c>
      <c r="BA10" s="92">
        <f>IFERROR('8'!BA14/'8'!BA26,0)</f>
        <v>59.079011486251304</v>
      </c>
      <c r="BB10" s="92">
        <f>IFERROR('8'!BB14/'8'!BB26,0)</f>
        <v>0.56470980324957898</v>
      </c>
      <c r="BC10" s="92">
        <f>IFERROR('8'!BC14/'8'!BC26,0)</f>
        <v>0.27098961257344056</v>
      </c>
      <c r="BD10" s="92">
        <f>IFERROR('8'!BD14/'8'!BD26,0)</f>
        <v>0</v>
      </c>
      <c r="BE10" s="92">
        <f>IFERROR('8'!BE14/'8'!BE26,0)</f>
        <v>0</v>
      </c>
      <c r="BF10" s="92">
        <f>IFERROR('8'!BF14/'8'!BF26,0)</f>
        <v>1.4865459771019351</v>
      </c>
      <c r="BG10" s="92">
        <f>IFERROR('8'!BG14/'8'!BG26,0)</f>
        <v>1.6629311170008405</v>
      </c>
      <c r="BH10" s="92">
        <f>IFERROR('8'!BH14/'8'!BH26,0)</f>
        <v>0.153789931045163</v>
      </c>
      <c r="BI10" s="92">
        <f>IFERROR('8'!BI14/'8'!BI26,0)</f>
        <v>0.26692091112470923</v>
      </c>
      <c r="BJ10" s="92">
        <f>IFERROR('8'!BJ14/'8'!BJ26,0)</f>
        <v>0.55771271718239812</v>
      </c>
      <c r="BK10" s="92">
        <f>IFERROR('8'!BK14/'8'!BK26,0)</f>
        <v>0.89251538419847531</v>
      </c>
      <c r="BL10" s="92">
        <f>IFERROR('8'!BL14/'8'!BL26,0)</f>
        <v>0.80427796028531418</v>
      </c>
      <c r="BM10" s="92">
        <f>IFERROR('8'!BM14/'8'!BM26,0)</f>
        <v>0.65794682073517252</v>
      </c>
      <c r="BN10" s="92">
        <f>IFERROR('8'!BN14/'8'!BN26,0)</f>
        <v>0.98057540375088703</v>
      </c>
      <c r="BO10" s="92">
        <f>IFERROR('8'!BO14/'8'!BO26,0)</f>
        <v>0.98297287594153404</v>
      </c>
      <c r="BP10" s="92">
        <f>IFERROR('8'!BP14/'8'!BP26,0)</f>
        <v>0.2452273481907154</v>
      </c>
      <c r="BQ10" s="92">
        <f>IFERROR('8'!BQ14/'8'!BQ26,0)</f>
        <v>0.42216055713493328</v>
      </c>
      <c r="BR10" s="92">
        <f>IFERROR('8'!BR14/'8'!BR26,0)</f>
        <v>2.7617034522035735</v>
      </c>
      <c r="BS10" s="92">
        <f>IFERROR('8'!BS14/'8'!BS26,0)</f>
        <v>27.801787299499981</v>
      </c>
      <c r="BT10" s="92">
        <f>IFERROR('8'!BT14/'8'!BT26,0)</f>
        <v>1.5637938121974648</v>
      </c>
      <c r="BU10" s="92">
        <f>IFERROR('8'!BU14/'8'!BU26,0)</f>
        <v>3.908110319567148</v>
      </c>
      <c r="BV10" s="92">
        <f>IFERROR('8'!BV14/'8'!BV26,0)</f>
        <v>0.4250336452180285</v>
      </c>
      <c r="BW10" s="92">
        <f>IFERROR('8'!BW14/'8'!BW26,0)</f>
        <v>0.53320352059925147</v>
      </c>
      <c r="BX10" s="92">
        <f>IFERROR('8'!BX14/'8'!BX26,0)</f>
        <v>1.1708015049960534</v>
      </c>
      <c r="BY10" s="92">
        <f>IFERROR('8'!BY14/'8'!BY26,0)</f>
        <v>0.55760696063582882</v>
      </c>
      <c r="BZ10" s="92">
        <f>IFERROR('8'!BZ14/'8'!BZ26,0)</f>
        <v>1.6531613322854279E-2</v>
      </c>
      <c r="CA10" s="92">
        <f>IFERROR('8'!CA14/'8'!CA26,0)</f>
        <v>4.2740028302900281E-2</v>
      </c>
      <c r="CB10" s="92">
        <f>IFERROR('8'!CB14/'8'!CB26,0)</f>
        <v>5.9299667930679254</v>
      </c>
      <c r="CC10" s="92">
        <f>IFERROR('8'!CC14/'8'!CC26,0)</f>
        <v>10.54585302611566</v>
      </c>
    </row>
    <row r="11" spans="1:81" s="31" customFormat="1" ht="21.75" customHeight="1" x14ac:dyDescent="0.2">
      <c r="A11" s="105" t="s">
        <v>76</v>
      </c>
      <c r="B11" s="92">
        <f>IFERROR('8'!B13/'8'!B26,0)</f>
        <v>1.2005246894142743</v>
      </c>
      <c r="C11" s="92">
        <f>IFERROR('8'!C13/'8'!C26,0)</f>
        <v>1.2050600595036751</v>
      </c>
      <c r="D11" s="92">
        <f>IFERROR('8'!D13/'8'!D26,0)</f>
        <v>0</v>
      </c>
      <c r="E11" s="92">
        <f>IFERROR('8'!E13/'8'!E26,0)</f>
        <v>0</v>
      </c>
      <c r="F11" s="92">
        <f>IFERROR('8'!F13/'8'!F26,0)</f>
        <v>0.29137330565329789</v>
      </c>
      <c r="G11" s="92">
        <f>IFERROR('8'!G13/'8'!G26,0)</f>
        <v>0.32061563074954003</v>
      </c>
      <c r="H11" s="92">
        <f>IFERROR('8'!H13/'8'!H26,0)</f>
        <v>1.8284840932512563</v>
      </c>
      <c r="I11" s="92">
        <f>IFERROR('8'!I13/'8'!I26,0)</f>
        <v>2.8670577668088448</v>
      </c>
      <c r="J11" s="92">
        <f>IFERROR('8'!J13/'8'!J26,0)</f>
        <v>0</v>
      </c>
      <c r="K11" s="92">
        <f>IFERROR('8'!K13/'8'!K26,0)</f>
        <v>0</v>
      </c>
      <c r="L11" s="92">
        <f>IFERROR('8'!L13/'8'!L26,0)</f>
        <v>0</v>
      </c>
      <c r="M11" s="92">
        <f>IFERROR('8'!M13/'8'!M26,0)</f>
        <v>0</v>
      </c>
      <c r="N11" s="92">
        <f>IFERROR('8'!N13/'8'!N26,0)</f>
        <v>0.35730354765293476</v>
      </c>
      <c r="O11" s="92">
        <f>IFERROR('8'!O13/'8'!O26,0)</f>
        <v>0.30820877627687637</v>
      </c>
      <c r="P11" s="92">
        <f>IFERROR('8'!P13/'8'!P26,0)</f>
        <v>0</v>
      </c>
      <c r="Q11" s="92">
        <f>IFERROR('8'!Q13/'8'!Q26,0)</f>
        <v>0</v>
      </c>
      <c r="R11" s="92">
        <f>IFERROR('8'!R13/'8'!R26,0)</f>
        <v>0</v>
      </c>
      <c r="S11" s="92">
        <f>IFERROR('8'!S13/'8'!S26,0)</f>
        <v>0</v>
      </c>
      <c r="T11" s="92">
        <f>IFERROR('8'!T13/'8'!T26,0)</f>
        <v>0.20203291775520579</v>
      </c>
      <c r="U11" s="92">
        <f>IFERROR('8'!U13/'8'!U26,0)</f>
        <v>0.19157024405002565</v>
      </c>
      <c r="V11" s="92">
        <f>IFERROR('8'!V13/'8'!V26,0)</f>
        <v>0</v>
      </c>
      <c r="W11" s="92">
        <f>IFERROR('8'!W13/'8'!W26,0)</f>
        <v>0</v>
      </c>
      <c r="X11" s="92">
        <f>IFERROR('8'!X13/'8'!X26,0)</f>
        <v>0.18625132005552003</v>
      </c>
      <c r="Y11" s="92">
        <f>IFERROR('8'!Y13/'8'!Y26,0)</f>
        <v>4.7058092680032131E-2</v>
      </c>
      <c r="Z11" s="92">
        <f>IFERROR('8'!Z13/'8'!Z26,0)</f>
        <v>6.304653418851712E-2</v>
      </c>
      <c r="AA11" s="92">
        <f>IFERROR('8'!AA13/'8'!AA26,0)</f>
        <v>0.31830192596681689</v>
      </c>
      <c r="AB11" s="92">
        <f>IFERROR('8'!AB13/'8'!AB26,0)</f>
        <v>0</v>
      </c>
      <c r="AC11" s="92">
        <f>IFERROR('8'!AC13/'8'!AC26,0)</f>
        <v>0.1743298039388799</v>
      </c>
      <c r="AD11" s="92">
        <f>IFERROR('8'!AD13/'8'!AD26,0)</f>
        <v>0.3858956116244226</v>
      </c>
      <c r="AE11" s="92">
        <f>IFERROR('8'!AE13/'8'!AE26,0)</f>
        <v>0.26890861650574349</v>
      </c>
      <c r="AF11" s="92">
        <f>IFERROR('8'!AF13/'8'!AF26,0)</f>
        <v>0.16343590770572566</v>
      </c>
      <c r="AG11" s="92">
        <f>IFERROR('8'!AG13/'8'!AG26,0)</f>
        <v>0.12886910638687471</v>
      </c>
      <c r="AH11" s="92">
        <f>IFERROR('8'!AH13/'8'!AH26,0)</f>
        <v>7.0517819931387102E-3</v>
      </c>
      <c r="AI11" s="92">
        <f>IFERROR('8'!AI13/'8'!AI26,0)</f>
        <v>1.0918618092550984E-2</v>
      </c>
      <c r="AJ11" s="92">
        <f>IFERROR('8'!AJ13/'8'!AJ26,0)</f>
        <v>3.2097291702407937E-2</v>
      </c>
      <c r="AK11" s="92">
        <f>IFERROR('8'!AK13/'8'!AK26,0)</f>
        <v>0.72354517627572301</v>
      </c>
      <c r="AL11" s="92">
        <f>IFERROR('8'!AL13/'8'!AL26,0)</f>
        <v>1.9821630025163015</v>
      </c>
      <c r="AM11" s="92">
        <f>IFERROR('8'!AM13/'8'!AM26,0)</f>
        <v>1.7535243117603878</v>
      </c>
      <c r="AN11" s="92">
        <f>IFERROR('8'!AN13/'8'!AN26,0)</f>
        <v>0.13346361548936447</v>
      </c>
      <c r="AO11" s="92">
        <f>IFERROR('8'!AO13/'8'!AO26,0)</f>
        <v>0.27443334757733717</v>
      </c>
      <c r="AP11" s="92">
        <f>IFERROR('8'!AP13/'8'!AP26,0)</f>
        <v>0</v>
      </c>
      <c r="AQ11" s="92">
        <f>IFERROR('8'!AQ13/'8'!AQ26,0)</f>
        <v>4.8525473559135779E-2</v>
      </c>
      <c r="AR11" s="92">
        <f>IFERROR('8'!AR13/'8'!AR26,0)</f>
        <v>0.1585756779747424</v>
      </c>
      <c r="AS11" s="92">
        <f>IFERROR('8'!AS13/'8'!AS26,0)</f>
        <v>4.722745919222935E-2</v>
      </c>
      <c r="AT11" s="92">
        <f>IFERROR('8'!AT13/'8'!AT26,0)</f>
        <v>0.23318033296378071</v>
      </c>
      <c r="AU11" s="92">
        <f>IFERROR('8'!AU13/'8'!AU26,0)</f>
        <v>6.6485881385041509E-2</v>
      </c>
      <c r="AV11" s="92">
        <f>IFERROR('8'!AV13/'8'!AV26,0)</f>
        <v>0</v>
      </c>
      <c r="AW11" s="92">
        <f>IFERROR('8'!AW13/'8'!AW26,0)</f>
        <v>0</v>
      </c>
      <c r="AX11" s="92">
        <f>IFERROR('8'!AX13/'8'!AX26,0)</f>
        <v>0</v>
      </c>
      <c r="AY11" s="92">
        <f>IFERROR('8'!AY13/'8'!AY26,0)</f>
        <v>0</v>
      </c>
      <c r="AZ11" s="92">
        <f>IFERROR('8'!AZ13/'8'!AZ26,0)</f>
        <v>309.15208333333334</v>
      </c>
      <c r="BA11" s="92">
        <f>IFERROR('8'!BA13/'8'!BA26,0)</f>
        <v>52.579881656804737</v>
      </c>
      <c r="BB11" s="92">
        <f>IFERROR('8'!BB13/'8'!BB26,0)</f>
        <v>1.173228685755375E-2</v>
      </c>
      <c r="BC11" s="92">
        <f>IFERROR('8'!BC13/'8'!BC26,0)</f>
        <v>9.2596788502716642E-3</v>
      </c>
      <c r="BD11" s="92">
        <f>IFERROR('8'!BD13/'8'!BD26,0)</f>
        <v>0</v>
      </c>
      <c r="BE11" s="92">
        <f>IFERROR('8'!BE13/'8'!BE26,0)</f>
        <v>0</v>
      </c>
      <c r="BF11" s="92">
        <f>IFERROR('8'!BF13/'8'!BF26,0)</f>
        <v>1.1328396606435982</v>
      </c>
      <c r="BG11" s="92">
        <f>IFERROR('8'!BG13/'8'!BG26,0)</f>
        <v>1.0991038916976024</v>
      </c>
      <c r="BH11" s="92">
        <f>IFERROR('8'!BH13/'8'!BH26,0)</f>
        <v>0</v>
      </c>
      <c r="BI11" s="92">
        <f>IFERROR('8'!BI13/'8'!BI26,0)</f>
        <v>0</v>
      </c>
      <c r="BJ11" s="92">
        <f>IFERROR('8'!BJ13/'8'!BJ26,0)</f>
        <v>0.37449366375935894</v>
      </c>
      <c r="BK11" s="92">
        <f>IFERROR('8'!BK13/'8'!BK26,0)</f>
        <v>0.36554761068681296</v>
      </c>
      <c r="BL11" s="92">
        <f>IFERROR('8'!BL13/'8'!BL26,0)</f>
        <v>0.39110087631141083</v>
      </c>
      <c r="BM11" s="92">
        <f>IFERROR('8'!BM13/'8'!BM26,0)</f>
        <v>0.16664990891359066</v>
      </c>
      <c r="BN11" s="92">
        <f>IFERROR('8'!BN13/'8'!BN26,0)</f>
        <v>0.76996681926450239</v>
      </c>
      <c r="BO11" s="92">
        <f>IFERROR('8'!BO13/'8'!BO26,0)</f>
        <v>0.7662042216932069</v>
      </c>
      <c r="BP11" s="92">
        <f>IFERROR('8'!BP13/'8'!BP26,0)</f>
        <v>0.22409519332239686</v>
      </c>
      <c r="BQ11" s="92">
        <f>IFERROR('8'!BQ13/'8'!BQ26,0)</f>
        <v>0.21543783353270893</v>
      </c>
      <c r="BR11" s="92">
        <f>IFERROR('8'!BR13/'8'!BR26,0)</f>
        <v>2.0164928240825586</v>
      </c>
      <c r="BS11" s="92">
        <f>IFERROR('8'!BS13/'8'!BS26,0)</f>
        <v>17.695937591017458</v>
      </c>
      <c r="BT11" s="92">
        <f>IFERROR('8'!BT13/'8'!BT26,0)</f>
        <v>1.205204600750315</v>
      </c>
      <c r="BU11" s="92">
        <f>IFERROR('8'!BU13/'8'!BU26,0)</f>
        <v>3.2155488325183312</v>
      </c>
      <c r="BV11" s="92">
        <f>IFERROR('8'!BV13/'8'!BV26,0)</f>
        <v>7.6462153482985101E-2</v>
      </c>
      <c r="BW11" s="92">
        <f>IFERROR('8'!BW13/'8'!BW26,0)</f>
        <v>7.626307427725311E-2</v>
      </c>
      <c r="BX11" s="92">
        <f>IFERROR('8'!BX13/'8'!BX26,0)</f>
        <v>1.0148622828786211</v>
      </c>
      <c r="BY11" s="92">
        <f>IFERROR('8'!BY13/'8'!BY26,0)</f>
        <v>0.45236352440606681</v>
      </c>
      <c r="BZ11" s="92">
        <f>IFERROR('8'!BZ13/'8'!BZ26,0)</f>
        <v>0</v>
      </c>
      <c r="CA11" s="92">
        <f>IFERROR('8'!CA13/'8'!CA26,0)</f>
        <v>0</v>
      </c>
      <c r="CB11" s="92">
        <f>IFERROR('8'!CB13/'8'!CB26,0)</f>
        <v>3.4084769850805836</v>
      </c>
      <c r="CC11" s="92">
        <f>IFERROR('8'!CC13/'8'!CC26,0)</f>
        <v>5.4360182640465098</v>
      </c>
    </row>
    <row r="12" spans="1:81" s="31" customFormat="1" ht="21.75" customHeight="1" x14ac:dyDescent="0.2">
      <c r="A12" s="104" t="s">
        <v>77</v>
      </c>
      <c r="B12" s="92">
        <f>IFERROR('8'!B14/'8'!B10,0)</f>
        <v>0.68585215845150949</v>
      </c>
      <c r="C12" s="92">
        <f>IFERROR('8'!C14/'8'!C10,0)</f>
        <v>0.71119705380661247</v>
      </c>
      <c r="D12" s="92">
        <f>IFERROR('8'!D14/'8'!D10,0)</f>
        <v>6.4615705904234835E-2</v>
      </c>
      <c r="E12" s="92">
        <f>IFERROR('8'!E14/'8'!E10,0)</f>
        <v>0.32872225706093816</v>
      </c>
      <c r="F12" s="92">
        <f>IFERROR('8'!F14/'8'!F10,0)</f>
        <v>0.28889038237515524</v>
      </c>
      <c r="G12" s="92">
        <f>IFERROR('8'!G14/'8'!G10,0)</f>
        <v>0.29553764999339549</v>
      </c>
      <c r="H12" s="92">
        <f>IFERROR('8'!H14/'8'!H10,0)</f>
        <v>0.69456479985027442</v>
      </c>
      <c r="I12" s="92">
        <f>IFERROR('8'!I14/'8'!I10,0)</f>
        <v>0.76844285315728666</v>
      </c>
      <c r="J12" s="92">
        <f>IFERROR('8'!J14/'8'!J10,0)</f>
        <v>0.12176491273935657</v>
      </c>
      <c r="K12" s="92">
        <f>IFERROR('8'!K14/'8'!K10,0)</f>
        <v>0.19154740448397681</v>
      </c>
      <c r="L12" s="92">
        <f>IFERROR('8'!L14/'8'!L10,0)</f>
        <v>0.12845237120618003</v>
      </c>
      <c r="M12" s="92">
        <f>IFERROR('8'!M14/'8'!M10,0)</f>
        <v>0.12845237120618003</v>
      </c>
      <c r="N12" s="92">
        <f>IFERROR('8'!N14/'8'!N10,0)</f>
        <v>0.27503771214194267</v>
      </c>
      <c r="O12" s="92">
        <f>IFERROR('8'!O14/'8'!O10,0)</f>
        <v>0.24864860644765313</v>
      </c>
      <c r="P12" s="92">
        <f>IFERROR('8'!P14/'8'!P10,0)</f>
        <v>0</v>
      </c>
      <c r="Q12" s="92">
        <f>IFERROR('8'!Q14/'8'!Q10,0)</f>
        <v>0</v>
      </c>
      <c r="R12" s="92">
        <f>IFERROR('8'!R14/'8'!R10,0)</f>
        <v>9.2541543670989962E-2</v>
      </c>
      <c r="S12" s="92">
        <f>IFERROR('8'!S14/'8'!S10,0)</f>
        <v>7.6476445418247926E-2</v>
      </c>
      <c r="T12" s="92">
        <f>IFERROR('8'!T14/'8'!T10,0)</f>
        <v>0.20533076247011886</v>
      </c>
      <c r="U12" s="92">
        <f>IFERROR('8'!U14/'8'!U10,0)</f>
        <v>0.22232051572244318</v>
      </c>
      <c r="V12" s="92">
        <f>IFERROR('8'!V14/'8'!V10,0)</f>
        <v>0</v>
      </c>
      <c r="W12" s="92">
        <f>IFERROR('8'!W14/'8'!W10,0)</f>
        <v>0</v>
      </c>
      <c r="X12" s="92">
        <f>IFERROR('8'!X14/'8'!X10,0)</f>
        <v>0.17716561353450308</v>
      </c>
      <c r="Y12" s="92">
        <f>IFERROR('8'!Y14/'8'!Y10,0)</f>
        <v>7.8884606169294033E-2</v>
      </c>
      <c r="Z12" s="92">
        <f>IFERROR('8'!Z14/'8'!Z10,0)</f>
        <v>0.20211739328246814</v>
      </c>
      <c r="AA12" s="92">
        <f>IFERROR('8'!AA14/'8'!AA10,0)</f>
        <v>0.29997112972736767</v>
      </c>
      <c r="AB12" s="92">
        <f>IFERROR('8'!AB14/'8'!AB10,0)</f>
        <v>0.46902519767818296</v>
      </c>
      <c r="AC12" s="92">
        <f>IFERROR('8'!AC14/'8'!AC10,0)</f>
        <v>0.39434286374500016</v>
      </c>
      <c r="AD12" s="92">
        <f>IFERROR('8'!AD14/'8'!AD10,0)</f>
        <v>0.45167723254728215</v>
      </c>
      <c r="AE12" s="92">
        <f>IFERROR('8'!AE14/'8'!AE10,0)</f>
        <v>0.40646133122324779</v>
      </c>
      <c r="AF12" s="92">
        <f>IFERROR('8'!AF14/'8'!AF10,0)</f>
        <v>0.32458946009884143</v>
      </c>
      <c r="AG12" s="92">
        <f>IFERROR('8'!AG14/'8'!AG10,0)</f>
        <v>0.34093236776500585</v>
      </c>
      <c r="AH12" s="92">
        <f>IFERROR('8'!AH14/'8'!AH10,0)</f>
        <v>0.46984170278387066</v>
      </c>
      <c r="AI12" s="92">
        <f>IFERROR('8'!AI14/'8'!AI10,0)</f>
        <v>0.20660701007070584</v>
      </c>
      <c r="AJ12" s="92">
        <f>IFERROR('8'!AJ14/'8'!AJ10,0)</f>
        <v>0.54162045638113554</v>
      </c>
      <c r="AK12" s="92">
        <f>IFERROR('8'!AK14/'8'!AK10,0)</f>
        <v>0.58803954277269699</v>
      </c>
      <c r="AL12" s="92">
        <f>IFERROR('8'!AL14/'8'!AL10,0)</f>
        <v>0.69610265361861368</v>
      </c>
      <c r="AM12" s="92">
        <f>IFERROR('8'!AM14/'8'!AM10,0)</f>
        <v>0.68223529662711602</v>
      </c>
      <c r="AN12" s="92">
        <f>IFERROR('8'!AN14/'8'!AN10,0)</f>
        <v>0.22981829982640592</v>
      </c>
      <c r="AO12" s="92">
        <f>IFERROR('8'!AO14/'8'!AO10,0)</f>
        <v>0.34882449649280534</v>
      </c>
      <c r="AP12" s="92">
        <f>IFERROR('8'!AP14/'8'!AP10,0)</f>
        <v>0.37928105258167172</v>
      </c>
      <c r="AQ12" s="92">
        <f>IFERROR('8'!AQ14/'8'!AQ10,0)</f>
        <v>0.37132139831303973</v>
      </c>
      <c r="AR12" s="92">
        <f>IFERROR('8'!AR14/'8'!AR10,0)</f>
        <v>0.25328542573091017</v>
      </c>
      <c r="AS12" s="92">
        <f>IFERROR('8'!AS14/'8'!AS10,0)</f>
        <v>0.17467491362645279</v>
      </c>
      <c r="AT12" s="92">
        <f>IFERROR('8'!AT14/'8'!AT10,0)</f>
        <v>0.43686316793410995</v>
      </c>
      <c r="AU12" s="92">
        <f>IFERROR('8'!AU14/'8'!AU10,0)</f>
        <v>0.37886657309834004</v>
      </c>
      <c r="AV12" s="92">
        <f>IFERROR('8'!AV14/'8'!AV10,0)</f>
        <v>0</v>
      </c>
      <c r="AW12" s="92">
        <f>IFERROR('8'!AW14/'8'!AW10,0)</f>
        <v>0</v>
      </c>
      <c r="AX12" s="92">
        <f>IFERROR('8'!AX14/'8'!AX10,0)</f>
        <v>0</v>
      </c>
      <c r="AY12" s="92">
        <f>IFERROR('8'!AY14/'8'!AY10,0)</f>
        <v>0</v>
      </c>
      <c r="AZ12" s="92">
        <f>IFERROR('8'!AZ14/'8'!AZ10,0)</f>
        <v>0.99709755832093749</v>
      </c>
      <c r="BA12" s="92">
        <f>IFERROR('8'!BA14/'8'!BA10,0)</f>
        <v>0.98335525210449171</v>
      </c>
      <c r="BB12" s="92">
        <f>IFERROR('8'!BB14/'8'!BB10,0)</f>
        <v>0.36090385710934603</v>
      </c>
      <c r="BC12" s="92">
        <f>IFERROR('8'!BC14/'8'!BC10,0)</f>
        <v>0.21321150849120901</v>
      </c>
      <c r="BD12" s="92">
        <f>IFERROR('8'!BD14/'8'!BD10,0)</f>
        <v>0</v>
      </c>
      <c r="BE12" s="92">
        <f>IFERROR('8'!BE14/'8'!BE10,0)</f>
        <v>0</v>
      </c>
      <c r="BF12" s="92">
        <f>IFERROR('8'!BF14/'8'!BF10,0)</f>
        <v>0.59783570896786786</v>
      </c>
      <c r="BG12" s="92">
        <f>IFERROR('8'!BG14/'8'!BG10,0)</f>
        <v>0.62447395142302342</v>
      </c>
      <c r="BH12" s="92">
        <f>IFERROR('8'!BH14/'8'!BH10,0)</f>
        <v>0.13329110170501496</v>
      </c>
      <c r="BI12" s="92">
        <f>IFERROR('8'!BI14/'8'!BI10,0)</f>
        <v>0.21068474660170394</v>
      </c>
      <c r="BJ12" s="92">
        <f>IFERROR('8'!BJ14/'8'!BJ10,0)</f>
        <v>0.35803310265784621</v>
      </c>
      <c r="BK12" s="92">
        <f>IFERROR('8'!BK14/'8'!BK10,0)</f>
        <v>0.47160271015523425</v>
      </c>
      <c r="BL12" s="92">
        <f>IFERROR('8'!BL14/'8'!BL10,0)</f>
        <v>0.44576167197549321</v>
      </c>
      <c r="BM12" s="92">
        <f>IFERROR('8'!BM14/'8'!BM10,0)</f>
        <v>0.39684434537135727</v>
      </c>
      <c r="BN12" s="92">
        <f>IFERROR('8'!BN14/'8'!BN10,0)</f>
        <v>0.49509622400330583</v>
      </c>
      <c r="BO12" s="92">
        <f>IFERROR('8'!BO14/'8'!BO10,0)</f>
        <v>0.49570666743225589</v>
      </c>
      <c r="BP12" s="92">
        <f>IFERROR('8'!BP14/'8'!BP10,0)</f>
        <v>0.19693379570166419</v>
      </c>
      <c r="BQ12" s="92">
        <f>IFERROR('8'!BQ14/'8'!BQ10,0)</f>
        <v>0.29684451239838394</v>
      </c>
      <c r="BR12" s="92">
        <f>IFERROR('8'!BR14/'8'!BR10,0)</f>
        <v>0.73416298953225334</v>
      </c>
      <c r="BS12" s="92">
        <f>IFERROR('8'!BS14/'8'!BS10,0)</f>
        <v>0.96527993247081023</v>
      </c>
      <c r="BT12" s="92">
        <f>IFERROR('8'!BT14/'8'!BT10,0)</f>
        <v>0.60995303317980731</v>
      </c>
      <c r="BU12" s="92">
        <f>IFERROR('8'!BU14/'8'!BU10,0)</f>
        <v>0.79625559840957461</v>
      </c>
      <c r="BV12" s="92">
        <f>IFERROR('8'!BV14/'8'!BV10,0)</f>
        <v>0.2982621825416612</v>
      </c>
      <c r="BW12" s="92">
        <f>IFERROR('8'!BW14/'8'!BW10,0)</f>
        <v>0.34777086892603098</v>
      </c>
      <c r="BX12" s="92">
        <f>IFERROR('8'!BX14/'8'!BX10,0)</f>
        <v>0.53934065473120352</v>
      </c>
      <c r="BY12" s="92">
        <f>IFERROR('8'!BY14/'8'!BY10,0)</f>
        <v>0.35798951515227484</v>
      </c>
      <c r="BZ12" s="92">
        <f>IFERROR('8'!BZ14/'8'!BZ10,0)</f>
        <v>1.6262763603401849E-2</v>
      </c>
      <c r="CA12" s="92">
        <f>IFERROR('8'!CA14/'8'!CA10,0)</f>
        <v>4.0988191824247247E-2</v>
      </c>
      <c r="CB12" s="92">
        <f>IFERROR('8'!CB14/'8'!CB10,0)</f>
        <v>0.85569916424414849</v>
      </c>
      <c r="CC12" s="92">
        <f>IFERROR('8'!CC14/'8'!CC10,0)</f>
        <v>0.91338881607637901</v>
      </c>
    </row>
    <row r="13" spans="1:81" s="31" customFormat="1" ht="21.75" customHeight="1" x14ac:dyDescent="0.2">
      <c r="A13" s="107" t="s">
        <v>78</v>
      </c>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row>
    <row r="14" spans="1:81" s="31" customFormat="1" ht="21.75" customHeight="1" x14ac:dyDescent="0.2">
      <c r="A14" s="104" t="s">
        <v>79</v>
      </c>
      <c r="B14" s="92">
        <f>IFERROR('8'!B10/'8'!B14,0)</f>
        <v>1.4580401733483808</v>
      </c>
      <c r="C14" s="92">
        <f>IFERROR('8'!C10/'8'!C14,0)</f>
        <v>1.406080065500269</v>
      </c>
      <c r="D14" s="92">
        <f>IFERROR('8'!D10/'8'!D14,0)</f>
        <v>15.476113523886475</v>
      </c>
      <c r="E14" s="92">
        <f>IFERROR('8'!E10/'8'!E14,0)</f>
        <v>3.042081813811047</v>
      </c>
      <c r="F14" s="92">
        <f>IFERROR('8'!F10/'8'!F14,0)</f>
        <v>3.46152056630737</v>
      </c>
      <c r="G14" s="92">
        <f>IFERROR('8'!G10/'8'!G14,0)</f>
        <v>3.3836636381941436</v>
      </c>
      <c r="H14" s="92">
        <f>IFERROR('8'!H10/'8'!H14,0)</f>
        <v>1.4397504742762195</v>
      </c>
      <c r="I14" s="92">
        <f>IFERROR('8'!I10/'8'!I14,0)</f>
        <v>1.3013329434860625</v>
      </c>
      <c r="J14" s="92">
        <f>IFERROR('8'!J10/'8'!J14,0)</f>
        <v>8.2125464347890293</v>
      </c>
      <c r="K14" s="92">
        <f>IFERROR('8'!K10/'8'!K14,0)</f>
        <v>5.2206397820631985</v>
      </c>
      <c r="L14" s="92">
        <f>IFERROR('8'!L10/'8'!L14,0)</f>
        <v>7.7849866889174919</v>
      </c>
      <c r="M14" s="92">
        <f>IFERROR('8'!M10/'8'!M14,0)</f>
        <v>7.7849866889174919</v>
      </c>
      <c r="N14" s="92">
        <f>IFERROR('8'!N10/'8'!N14,0)</f>
        <v>3.6358650317884975</v>
      </c>
      <c r="O14" s="92">
        <f>IFERROR('8'!O10/'8'!O14,0)</f>
        <v>4.0217398130100737</v>
      </c>
      <c r="P14" s="92">
        <f>IFERROR('8'!P10/'8'!P14,0)</f>
        <v>0</v>
      </c>
      <c r="Q14" s="92">
        <f>IFERROR('8'!Q10/'8'!Q14,0)</f>
        <v>0</v>
      </c>
      <c r="R14" s="92">
        <f>IFERROR('8'!R10/'8'!R14,0)</f>
        <v>10.805957630826525</v>
      </c>
      <c r="S14" s="92">
        <f>IFERROR('8'!S10/'8'!S14,0)</f>
        <v>13.075921540691686</v>
      </c>
      <c r="T14" s="92">
        <f>IFERROR('8'!T10/'8'!T14,0)</f>
        <v>4.8701908470511173</v>
      </c>
      <c r="U14" s="92">
        <f>IFERROR('8'!U10/'8'!U14,0)</f>
        <v>4.4980104366456821</v>
      </c>
      <c r="V14" s="92">
        <f>IFERROR('8'!V10/'8'!V14,0)</f>
        <v>0</v>
      </c>
      <c r="W14" s="92">
        <f>IFERROR('8'!W10/'8'!W14,0)</f>
        <v>0</v>
      </c>
      <c r="X14" s="92">
        <f>IFERROR('8'!X10/'8'!X14,0)</f>
        <v>5.6444361862876375</v>
      </c>
      <c r="Y14" s="92">
        <f>IFERROR('8'!Y10/'8'!Y14,0)</f>
        <v>12.676744533070279</v>
      </c>
      <c r="Z14" s="92">
        <f>IFERROR('8'!Z10/'8'!Z14,0)</f>
        <v>4.9476197162430999</v>
      </c>
      <c r="AA14" s="92">
        <f>IFERROR('8'!AA10/'8'!AA14,0)</f>
        <v>3.333654145013428</v>
      </c>
      <c r="AB14" s="92">
        <f>IFERROR('8'!AB10/'8'!AB14,0)</f>
        <v>2.1320816129928701</v>
      </c>
      <c r="AC14" s="92">
        <f>IFERROR('8'!AC10/'8'!AC14,0)</f>
        <v>2.53586432502718</v>
      </c>
      <c r="AD14" s="92">
        <f>IFERROR('8'!AD10/'8'!AD14,0)</f>
        <v>2.2139703486057796</v>
      </c>
      <c r="AE14" s="92">
        <f>IFERROR('8'!AE10/'8'!AE14,0)</f>
        <v>2.4602586351584641</v>
      </c>
      <c r="AF14" s="92">
        <f>IFERROR('8'!AF10/'8'!AF14,0)</f>
        <v>3.080814761192455</v>
      </c>
      <c r="AG14" s="92">
        <f>IFERROR('8'!AG10/'8'!AG14,0)</f>
        <v>2.9331330625940129</v>
      </c>
      <c r="AH14" s="92">
        <f>IFERROR('8'!AH10/'8'!AH14,0)</f>
        <v>2.1283764171525759</v>
      </c>
      <c r="AI14" s="92">
        <f>IFERROR('8'!AI10/'8'!AI14,0)</f>
        <v>4.840106827245485</v>
      </c>
      <c r="AJ14" s="92">
        <f>IFERROR('8'!AJ10/'8'!AJ14,0)</f>
        <v>1.8463113573692371</v>
      </c>
      <c r="AK14" s="92">
        <f>IFERROR('8'!AK10/'8'!AK14,0)</f>
        <v>1.7005659097088031</v>
      </c>
      <c r="AL14" s="92">
        <f>IFERROR('8'!AL10/'8'!AL14,0)</f>
        <v>1.4365697283318906</v>
      </c>
      <c r="AM14" s="92">
        <f>IFERROR('8'!AM10/'8'!AM14,0)</f>
        <v>1.4657699549464416</v>
      </c>
      <c r="AN14" s="92">
        <f>IFERROR('8'!AN10/'8'!AN14,0)</f>
        <v>4.3512635884755637</v>
      </c>
      <c r="AO14" s="92">
        <f>IFERROR('8'!AO10/'8'!AO14,0)</f>
        <v>2.8667711415176527</v>
      </c>
      <c r="AP14" s="92">
        <f>IFERROR('8'!AP10/'8'!AP14,0)</f>
        <v>2.6365672453006783</v>
      </c>
      <c r="AQ14" s="92">
        <f>IFERROR('8'!AQ10/'8'!AQ14,0)</f>
        <v>2.693084763073518</v>
      </c>
      <c r="AR14" s="92">
        <f>IFERROR('8'!AR10/'8'!AR14,0)</f>
        <v>3.9481150449706397</v>
      </c>
      <c r="AS14" s="92">
        <f>IFERROR('8'!AS10/'8'!AS14,0)</f>
        <v>5.7249205351750057</v>
      </c>
      <c r="AT14" s="92">
        <f>IFERROR('8'!AT10/'8'!AT14,0)</f>
        <v>2.289046258417522</v>
      </c>
      <c r="AU14" s="92">
        <f>IFERROR('8'!AU10/'8'!AU14,0)</f>
        <v>2.6394516460559747</v>
      </c>
      <c r="AV14" s="92">
        <f>IFERROR('8'!AV10/'8'!AV14,0)</f>
        <v>0</v>
      </c>
      <c r="AW14" s="92">
        <f>IFERROR('8'!AW10/'8'!AW14,0)</f>
        <v>0</v>
      </c>
      <c r="AX14" s="92">
        <f>IFERROR('8'!AX10/'8'!AX14,0)</f>
        <v>0</v>
      </c>
      <c r="AY14" s="92">
        <f>IFERROR('8'!AY10/'8'!AY14,0)</f>
        <v>0</v>
      </c>
      <c r="AZ14" s="92">
        <f>IFERROR('8'!AZ10/'8'!AZ14,0)</f>
        <v>1.0029108903685915</v>
      </c>
      <c r="BA14" s="92">
        <f>IFERROR('8'!BA10/'8'!BA14,0)</f>
        <v>1.016926484970601</v>
      </c>
      <c r="BB14" s="92">
        <f>IFERROR('8'!BB10/'8'!BB14,0)</f>
        <v>2.770821038072258</v>
      </c>
      <c r="BC14" s="92">
        <f>IFERROR('8'!BC10/'8'!BC14,0)</f>
        <v>4.6901783448581122</v>
      </c>
      <c r="BD14" s="92">
        <f>IFERROR('8'!BD10/'8'!BD14,0)</f>
        <v>0</v>
      </c>
      <c r="BE14" s="92">
        <f>IFERROR('8'!BE10/'8'!BE14,0)</f>
        <v>0</v>
      </c>
      <c r="BF14" s="92">
        <f>IFERROR('8'!BF10/'8'!BF14,0)</f>
        <v>1.6727003506137963</v>
      </c>
      <c r="BG14" s="92">
        <f>IFERROR('8'!BG10/'8'!BG14,0)</f>
        <v>1.601347818786107</v>
      </c>
      <c r="BH14" s="92">
        <f>IFERROR('8'!BH10/'8'!BH14,0)</f>
        <v>7.5023762817497666</v>
      </c>
      <c r="BI14" s="92">
        <f>IFERROR('8'!BI10/'8'!BI14,0)</f>
        <v>4.7464280928247913</v>
      </c>
      <c r="BJ14" s="92">
        <f>IFERROR('8'!BJ10/'8'!BJ14,0)</f>
        <v>2.7930378296770186</v>
      </c>
      <c r="BK14" s="92">
        <f>IFERROR('8'!BK10/'8'!BK14,0)</f>
        <v>2.1204288662184254</v>
      </c>
      <c r="BL14" s="92">
        <f>IFERROR('8'!BL10/'8'!BL14,0)</f>
        <v>2.2433512409630798</v>
      </c>
      <c r="BM14" s="92">
        <f>IFERROR('8'!BM10/'8'!BM14,0)</f>
        <v>2.5198796748992969</v>
      </c>
      <c r="BN14" s="92">
        <f>IFERROR('8'!BN10/'8'!BN14,0)</f>
        <v>2.0198093855656691</v>
      </c>
      <c r="BO14" s="92">
        <f>IFERROR('8'!BO10/'8'!BO14,0)</f>
        <v>2.0173220690775997</v>
      </c>
      <c r="BP14" s="92">
        <f>IFERROR('8'!BP10/'8'!BP14,0)</f>
        <v>5.0778486061117922</v>
      </c>
      <c r="BQ14" s="92">
        <f>IFERROR('8'!BQ10/'8'!BQ14,0)</f>
        <v>3.3687670084260724</v>
      </c>
      <c r="BR14" s="92">
        <f>IFERROR('8'!BR10/'8'!BR14,0)</f>
        <v>1.3620953579219726</v>
      </c>
      <c r="BS14" s="92">
        <f>IFERROR('8'!BS10/'8'!BS14,0)</f>
        <v>1.0359689105318055</v>
      </c>
      <c r="BT14" s="92">
        <f>IFERROR('8'!BT10/'8'!BT14,0)</f>
        <v>1.6394704929768114</v>
      </c>
      <c r="BU14" s="92">
        <f>IFERROR('8'!BU10/'8'!BU14,0)</f>
        <v>1.2558781401316115</v>
      </c>
      <c r="BV14" s="92">
        <f>IFERROR('8'!BV10/'8'!BV14,0)</f>
        <v>3.3527549201123419</v>
      </c>
      <c r="BW14" s="92">
        <f>IFERROR('8'!BW10/'8'!BW14,0)</f>
        <v>2.8754564840009493</v>
      </c>
      <c r="BX14" s="92">
        <f>IFERROR('8'!BX10/'8'!BX14,0)</f>
        <v>1.8541157452674875</v>
      </c>
      <c r="BY14" s="92">
        <f>IFERROR('8'!BY10/'8'!BY14,0)</f>
        <v>2.7933778998377616</v>
      </c>
      <c r="BZ14" s="92">
        <f>IFERROR('8'!BZ10/'8'!BZ14,0)</f>
        <v>61.490163934426228</v>
      </c>
      <c r="CA14" s="92">
        <f>IFERROR('8'!CA10/'8'!CA14,0)</f>
        <v>24.397270420902863</v>
      </c>
      <c r="CB14" s="92">
        <f>IFERROR('8'!CB10/'8'!CB14,0)</f>
        <v>1.1686350084066222</v>
      </c>
      <c r="CC14" s="92">
        <f>IFERROR('8'!CC10/'8'!CC14,0)</f>
        <v>1.0948240030961562</v>
      </c>
    </row>
    <row r="15" spans="1:81" s="31" customFormat="1" ht="21.75" customHeight="1" x14ac:dyDescent="0.2">
      <c r="A15" s="104" t="s">
        <v>80</v>
      </c>
      <c r="B15" s="92">
        <f>IFERROR('8'!B10/'8'!B12,0)</f>
        <v>3.2392869160434206</v>
      </c>
      <c r="C15" s="92">
        <f>IFERROR('8'!C10/'8'!C12,0)</f>
        <v>2.7535150401688697</v>
      </c>
      <c r="D15" s="92">
        <f>IFERROR('8'!D10/'8'!D12,0)</f>
        <v>15.476113523886475</v>
      </c>
      <c r="E15" s="92">
        <f>IFERROR('8'!E10/'8'!E12,0)</f>
        <v>3.042081813811047</v>
      </c>
      <c r="F15" s="92">
        <f>IFERROR('8'!F10/'8'!F12,0)</f>
        <v>12.241097362367993</v>
      </c>
      <c r="G15" s="92">
        <f>IFERROR('8'!G10/'8'!G12,0)</f>
        <v>14.352142293308487</v>
      </c>
      <c r="H15" s="92">
        <f>IFERROR('8'!H10/'8'!H12,0)</f>
        <v>7.3485431351380575</v>
      </c>
      <c r="I15" s="92">
        <f>IFERROR('8'!I10/'8'!I12,0)</f>
        <v>9.564331607285629</v>
      </c>
      <c r="J15" s="92">
        <f>IFERROR('8'!J10/'8'!J12,0)</f>
        <v>8.2125464347890293</v>
      </c>
      <c r="K15" s="92">
        <f>IFERROR('8'!K10/'8'!K12,0)</f>
        <v>5.2206397820631985</v>
      </c>
      <c r="L15" s="92">
        <f>IFERROR('8'!L10/'8'!L12,0)</f>
        <v>7.7849866889174919</v>
      </c>
      <c r="M15" s="92">
        <f>IFERROR('8'!M10/'8'!M12,0)</f>
        <v>7.7849866889174919</v>
      </c>
      <c r="N15" s="92">
        <f>IFERROR('8'!N10/'8'!N12,0)</f>
        <v>62.476123282584481</v>
      </c>
      <c r="O15" s="92">
        <f>IFERROR('8'!O10/'8'!O12,0)</f>
        <v>58.563394647065032</v>
      </c>
      <c r="P15" s="92">
        <f>IFERROR('8'!P10/'8'!P12,0)</f>
        <v>0</v>
      </c>
      <c r="Q15" s="92">
        <f>IFERROR('8'!Q10/'8'!Q12,0)</f>
        <v>0</v>
      </c>
      <c r="R15" s="92">
        <f>IFERROR('8'!R10/'8'!R12,0)</f>
        <v>10.805957630826525</v>
      </c>
      <c r="S15" s="92">
        <f>IFERROR('8'!S10/'8'!S12,0)</f>
        <v>13.075921540691686</v>
      </c>
      <c r="T15" s="92">
        <f>IFERROR('8'!T10/'8'!T12,0)</f>
        <v>22.330690942445564</v>
      </c>
      <c r="U15" s="92">
        <f>IFERROR('8'!U10/'8'!U12,0)</f>
        <v>13.635074416521066</v>
      </c>
      <c r="V15" s="92">
        <f>IFERROR('8'!V10/'8'!V12,0)</f>
        <v>0</v>
      </c>
      <c r="W15" s="92">
        <f>IFERROR('8'!W10/'8'!W12,0)</f>
        <v>0</v>
      </c>
      <c r="X15" s="92">
        <f>IFERROR('8'!X10/'8'!X12,0)</f>
        <v>41.820666272243209</v>
      </c>
      <c r="Y15" s="92">
        <f>IFERROR('8'!Y10/'8'!Y12,0)</f>
        <v>28.13836102795344</v>
      </c>
      <c r="Z15" s="92">
        <f>IFERROR('8'!Z10/'8'!Z12,0)</f>
        <v>6.5870225276273837</v>
      </c>
      <c r="AA15" s="92">
        <f>IFERROR('8'!AA10/'8'!AA12,0)</f>
        <v>12.961663325533054</v>
      </c>
      <c r="AB15" s="92">
        <f>IFERROR('8'!AB10/'8'!AB12,0)</f>
        <v>2.1320816129928701</v>
      </c>
      <c r="AC15" s="92">
        <f>IFERROR('8'!AC10/'8'!AC12,0)</f>
        <v>3.4630982338605407</v>
      </c>
      <c r="AD15" s="92">
        <f>IFERROR('8'!AD10/'8'!AD12,0)</f>
        <v>4.1652455745418813</v>
      </c>
      <c r="AE15" s="92">
        <f>IFERROR('8'!AE10/'8'!AE12,0)</f>
        <v>4.0509829333860363</v>
      </c>
      <c r="AF15" s="92">
        <f>IFERROR('8'!AF10/'8'!AF12,0)</f>
        <v>4.6684659617555502</v>
      </c>
      <c r="AG15" s="92">
        <f>IFERROR('8'!AG10/'8'!AG12,0)</f>
        <v>3.9062666176492944</v>
      </c>
      <c r="AH15" s="92">
        <f>IFERROR('8'!AH10/'8'!AH12,0)</f>
        <v>2.1454478843496463</v>
      </c>
      <c r="AI15" s="92">
        <f>IFERROR('8'!AI10/'8'!AI12,0)</f>
        <v>5.051927371761038</v>
      </c>
      <c r="AJ15" s="92">
        <f>IFERROR('8'!AJ10/'8'!AJ12,0)</f>
        <v>1.8978655513259957</v>
      </c>
      <c r="AK15" s="92">
        <f>IFERROR('8'!AK10/'8'!AK12,0)</f>
        <v>3.4486618609262152</v>
      </c>
      <c r="AL15" s="92">
        <f>IFERROR('8'!AL10/'8'!AL12,0)</f>
        <v>10.669104678451898</v>
      </c>
      <c r="AM15" s="92">
        <f>IFERROR('8'!AM10/'8'!AM12,0)</f>
        <v>7.9982618917297117</v>
      </c>
      <c r="AN15" s="92">
        <f>IFERROR('8'!AN10/'8'!AN12,0)</f>
        <v>7.8723380388949273</v>
      </c>
      <c r="AO15" s="92">
        <f>IFERROR('8'!AO10/'8'!AO12,0)</f>
        <v>5.8781959085202864</v>
      </c>
      <c r="AP15" s="92">
        <f>IFERROR('8'!AP10/'8'!AP12,0)</f>
        <v>2.6365672453006783</v>
      </c>
      <c r="AQ15" s="92">
        <f>IFERROR('8'!AQ10/'8'!AQ12,0)</f>
        <v>2.934147707244974</v>
      </c>
      <c r="AR15" s="92">
        <f>IFERROR('8'!AR10/'8'!AR12,0)</f>
        <v>7.4142913922906324</v>
      </c>
      <c r="AS15" s="92">
        <f>IFERROR('8'!AS10/'8'!AS12,0)</f>
        <v>7.3693647383710763</v>
      </c>
      <c r="AT15" s="92">
        <f>IFERROR('8'!AT10/'8'!AT12,0)</f>
        <v>3.2727789167509123</v>
      </c>
      <c r="AU15" s="92">
        <f>IFERROR('8'!AU10/'8'!AU12,0)</f>
        <v>2.9623488153625956</v>
      </c>
      <c r="AV15" s="92">
        <f>IFERROR('8'!AV10/'8'!AV12,0)</f>
        <v>0</v>
      </c>
      <c r="AW15" s="92">
        <f>IFERROR('8'!AW10/'8'!AW12,0)</f>
        <v>0</v>
      </c>
      <c r="AX15" s="92">
        <f>IFERROR('8'!AX10/'8'!AX12,0)</f>
        <v>0</v>
      </c>
      <c r="AY15" s="92">
        <f>IFERROR('8'!AY10/'8'!AY12,0)</f>
        <v>0</v>
      </c>
      <c r="AZ15" s="92">
        <f>IFERROR('8'!AZ10/'8'!AZ12,0)</f>
        <v>10.019872765828536</v>
      </c>
      <c r="BA15" s="92">
        <f>IFERROR('8'!BA10/'8'!BA12,0)</f>
        <v>9.2441623821765209</v>
      </c>
      <c r="BB15" s="92">
        <f>IFERROR('8'!BB10/'8'!BB12,0)</f>
        <v>2.8296083599541886</v>
      </c>
      <c r="BC15" s="92">
        <f>IFERROR('8'!BC10/'8'!BC12,0)</f>
        <v>4.856111009135712</v>
      </c>
      <c r="BD15" s="92">
        <f>IFERROR('8'!BD10/'8'!BD12,0)</f>
        <v>0</v>
      </c>
      <c r="BE15" s="92">
        <f>IFERROR('8'!BE10/'8'!BE12,0)</f>
        <v>0</v>
      </c>
      <c r="BF15" s="92">
        <f>IFERROR('8'!BF10/'8'!BF12,0)</f>
        <v>7.0299733462487515</v>
      </c>
      <c r="BG15" s="92">
        <f>IFERROR('8'!BG10/'8'!BG12,0)</f>
        <v>4.7229558941015304</v>
      </c>
      <c r="BH15" s="92">
        <f>IFERROR('8'!BH10/'8'!BH12,0)</f>
        <v>7.5023762817497666</v>
      </c>
      <c r="BI15" s="92">
        <f>IFERROR('8'!BI10/'8'!BI12,0)</f>
        <v>4.7464280928247913</v>
      </c>
      <c r="BJ15" s="92">
        <f>IFERROR('8'!BJ10/'8'!BJ12,0)</f>
        <v>8.5019144465600682</v>
      </c>
      <c r="BK15" s="92">
        <f>IFERROR('8'!BK10/'8'!BK12,0)</f>
        <v>3.5913303987963734</v>
      </c>
      <c r="BL15" s="92">
        <f>IFERROR('8'!BL10/'8'!BL12,0)</f>
        <v>4.3668393777600549</v>
      </c>
      <c r="BM15" s="92">
        <f>IFERROR('8'!BM10/'8'!BM12,0)</f>
        <v>3.3746331003547367</v>
      </c>
      <c r="BN15" s="92">
        <f>IFERROR('8'!BN10/'8'!BN12,0)</f>
        <v>9.404058284618154</v>
      </c>
      <c r="BO15" s="92">
        <f>IFERROR('8'!BO10/'8'!BO12,0)</f>
        <v>9.147876489881547</v>
      </c>
      <c r="BP15" s="92">
        <f>IFERROR('8'!BP10/'8'!BP12,0)</f>
        <v>58.925715619166148</v>
      </c>
      <c r="BQ15" s="92">
        <f>IFERROR('8'!BQ10/'8'!BQ12,0)</f>
        <v>6.8795560176125248</v>
      </c>
      <c r="BR15" s="92">
        <f>IFERROR('8'!BR10/'8'!BR12,0)</f>
        <v>5.0478392420252893</v>
      </c>
      <c r="BS15" s="92">
        <f>IFERROR('8'!BS10/'8'!BS12,0)</f>
        <v>2.8500114419200888</v>
      </c>
      <c r="BT15" s="92">
        <f>IFERROR('8'!BT10/'8'!BT12,0)</f>
        <v>7.1496680054896906</v>
      </c>
      <c r="BU15" s="92">
        <f>IFERROR('8'!BU10/'8'!BU12,0)</f>
        <v>7.086894682061911</v>
      </c>
      <c r="BV15" s="92">
        <f>IFERROR('8'!BV10/'8'!BV12,0)</f>
        <v>4.0882105364520944</v>
      </c>
      <c r="BW15" s="92">
        <f>IFERROR('8'!BW10/'8'!BW12,0)</f>
        <v>3.3553683700803938</v>
      </c>
      <c r="BX15" s="92">
        <f>IFERROR('8'!BX10/'8'!BX12,0)</f>
        <v>13.920817838640367</v>
      </c>
      <c r="BY15" s="92">
        <f>IFERROR('8'!BY10/'8'!BY12,0)</f>
        <v>14.800038999442611</v>
      </c>
      <c r="BZ15" s="92">
        <f>IFERROR('8'!BZ10/'8'!BZ12,0)</f>
        <v>61.490163934426228</v>
      </c>
      <c r="CA15" s="92">
        <f>IFERROR('8'!CA10/'8'!CA12,0)</f>
        <v>24.397270420902863</v>
      </c>
      <c r="CB15" s="92">
        <f>IFERROR('8'!CB10/'8'!CB12,0)</f>
        <v>2.7483620084903051</v>
      </c>
      <c r="CC15" s="92">
        <f>IFERROR('8'!CC10/'8'!CC12,0)</f>
        <v>2.2595354964942822</v>
      </c>
    </row>
    <row r="16" spans="1:81" s="31" customFormat="1" ht="21.75" customHeight="1" x14ac:dyDescent="0.2">
      <c r="A16" s="107" t="s">
        <v>81</v>
      </c>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row>
    <row r="17" spans="1:81" s="31" customFormat="1" ht="21.75" customHeight="1" x14ac:dyDescent="0.2">
      <c r="A17" s="104" t="s">
        <v>82</v>
      </c>
      <c r="B17" s="92">
        <f>IFERROR('8'!B9/'8'!B13,0)</f>
        <v>1.5130629033865426</v>
      </c>
      <c r="C17" s="92">
        <f>IFERROR('8'!C9/'8'!C13,0)</f>
        <v>1.3709062409750283</v>
      </c>
      <c r="D17" s="92">
        <f>IFERROR('8'!D9/'8'!D13,0)</f>
        <v>0</v>
      </c>
      <c r="E17" s="92">
        <f>IFERROR('8'!E9/'8'!E13,0)</f>
        <v>0</v>
      </c>
      <c r="F17" s="92">
        <f>IFERROR('8'!#REF!/'8'!F13,0)</f>
        <v>0</v>
      </c>
      <c r="G17" s="92">
        <f>IFERROR('8'!F9/'8'!G13,0)</f>
        <v>3.2788851142310809</v>
      </c>
      <c r="H17" s="92">
        <f>IFERROR('8'!H9/'8'!H13,0)</f>
        <v>1.6951909348325789</v>
      </c>
      <c r="I17" s="92">
        <f>IFERROR('8'!I9/'8'!I13,0)</f>
        <v>1.4403053303447455</v>
      </c>
      <c r="J17" s="92">
        <f>IFERROR('8'!J9/'8'!J13,0)</f>
        <v>0</v>
      </c>
      <c r="K17" s="92">
        <f>IFERROR('8'!K9/'8'!K13,0)</f>
        <v>0</v>
      </c>
      <c r="L17" s="92">
        <f>IFERROR('8'!L9/'8'!L13,0)</f>
        <v>0</v>
      </c>
      <c r="M17" s="92">
        <f>IFERROR('8'!M9/'8'!M13,0)</f>
        <v>0</v>
      </c>
      <c r="N17" s="92">
        <f>IFERROR('8'!N9/'8'!N13,0)</f>
        <v>3.82794573856857</v>
      </c>
      <c r="O17" s="92">
        <f>IFERROR('8'!O9/'8'!O13,0)</f>
        <v>4.2006742738589216</v>
      </c>
      <c r="P17" s="92">
        <f>IFERROR('8'!P9/'8'!P13,0)</f>
        <v>0</v>
      </c>
      <c r="Q17" s="92">
        <f>IFERROR('8'!Q9/'8'!Q13,0)</f>
        <v>0</v>
      </c>
      <c r="R17" s="92">
        <f>IFERROR('8'!R9/'8'!R13,0)</f>
        <v>0</v>
      </c>
      <c r="S17" s="92">
        <f>IFERROR('8'!S9/'8'!S13,0)</f>
        <v>0</v>
      </c>
      <c r="T17" s="92">
        <f>IFERROR('8'!T9/'8'!T13,0)</f>
        <v>4.9680233551648376</v>
      </c>
      <c r="U17" s="92">
        <f>IFERROR('8'!U9/'8'!U13,0)</f>
        <v>5.1756280364289458</v>
      </c>
      <c r="V17" s="92">
        <f>IFERROR('8'!V9/'8'!V13,0)</f>
        <v>0</v>
      </c>
      <c r="W17" s="92">
        <f>IFERROR('8'!W9/'8'!W13,0)</f>
        <v>0</v>
      </c>
      <c r="X17" s="92">
        <f>IFERROR('8'!X9/'8'!X13,0)</f>
        <v>3.7349871120294824</v>
      </c>
      <c r="Y17" s="92">
        <f>IFERROR('8'!Y9/'8'!Y13,0)</f>
        <v>13.723491940423298</v>
      </c>
      <c r="Z17" s="92">
        <f>IFERROR('8'!Z9/'8'!Z13,0)</f>
        <v>12.736592501171526</v>
      </c>
      <c r="AA17" s="92">
        <f>IFERROR('8'!AA9/'8'!AA13,0)</f>
        <v>2.30262145061053</v>
      </c>
      <c r="AB17" s="92">
        <f>IFERROR('8'!AB9/'8'!AB13,0)</f>
        <v>0</v>
      </c>
      <c r="AC17" s="92">
        <f>IFERROR('8'!AC9/'8'!AC13,0)</f>
        <v>7.9109300390681518</v>
      </c>
      <c r="AD17" s="92">
        <f>IFERROR('8'!AD9/'8'!AD13,0)</f>
        <v>3.4384681094717631</v>
      </c>
      <c r="AE17" s="92">
        <f>IFERROR('8'!AE9/'8'!AE13,0)</f>
        <v>4.6349487999382966</v>
      </c>
      <c r="AF17" s="92">
        <f>IFERROR('8'!AF9/'8'!AF13,0)</f>
        <v>6.4988296122824254</v>
      </c>
      <c r="AG17" s="92">
        <f>IFERROR('8'!AG9/'8'!AG13,0)</f>
        <v>7.9840435697466603</v>
      </c>
      <c r="AH17" s="92">
        <f>IFERROR('8'!AH9/'8'!AH13,0)</f>
        <v>6.6099966965712253</v>
      </c>
      <c r="AI17" s="92">
        <f>IFERROR('8'!AI9/'8'!AI13,0)</f>
        <v>3.9416652571676125</v>
      </c>
      <c r="AJ17" s="92">
        <f>IFERROR('8'!AJ9/'8'!AJ13,0)</f>
        <v>4.7799697693509131</v>
      </c>
      <c r="AK17" s="92">
        <f>IFERROR('8'!AK9/'8'!AK13,0)</f>
        <v>2.2346996259480991</v>
      </c>
      <c r="AL17" s="92">
        <f>IFERROR('8'!AL9/'8'!AL13,0)</f>
        <v>1.3035852383412205</v>
      </c>
      <c r="AM17" s="92">
        <f>IFERROR('8'!AM9/'8'!AM13,0)</f>
        <v>1.3901561875672672</v>
      </c>
      <c r="AN17" s="92">
        <f>IFERROR('8'!AN9/'8'!AN13,0)</f>
        <v>6.3286804498479672</v>
      </c>
      <c r="AO17" s="92">
        <f>IFERROR('8'!AO9/'8'!AO13,0)</f>
        <v>2.243016644838709</v>
      </c>
      <c r="AP17" s="92">
        <f>IFERROR('8'!AP9/'8'!AP13,0)</f>
        <v>0</v>
      </c>
      <c r="AQ17" s="92">
        <f>IFERROR('8'!AQ9/'8'!AQ13,0)</f>
        <v>14.993021748362173</v>
      </c>
      <c r="AR17" s="92">
        <f>IFERROR('8'!AR9/'8'!AR13,0)</f>
        <v>5.7205671544897267</v>
      </c>
      <c r="AS17" s="92">
        <f>IFERROR('8'!AS9/'8'!AS13,0)</f>
        <v>21.503340524740761</v>
      </c>
      <c r="AT17" s="92">
        <f>IFERROR('8'!AT9/'8'!AT13,0)</f>
        <v>3.5748809937012966</v>
      </c>
      <c r="AU17" s="92">
        <f>IFERROR('8'!AU9/'8'!AU13,0)</f>
        <v>8.2679721450708019</v>
      </c>
      <c r="AV17" s="92">
        <f>IFERROR('8'!AV9/'8'!AV13,0)</f>
        <v>0</v>
      </c>
      <c r="AW17" s="92">
        <f>IFERROR('8'!AW9/'8'!AW13,0)</f>
        <v>0</v>
      </c>
      <c r="AX17" s="92">
        <f>IFERROR('8'!AX9/'8'!AX13,0)</f>
        <v>0</v>
      </c>
      <c r="AY17" s="92">
        <f>IFERROR('8'!AY9/'8'!AY13,0)</f>
        <v>0</v>
      </c>
      <c r="AZ17" s="92">
        <f>IFERROR('8'!AZ9/'8'!AZ13,0)</f>
        <v>0.99963610143335602</v>
      </c>
      <c r="BA17" s="92">
        <f>IFERROR('8'!BA9/'8'!BA13,0)</f>
        <v>0.85339794256662826</v>
      </c>
      <c r="BB17" s="92">
        <f>IFERROR('8'!BB9/'8'!BB13,0)</f>
        <v>40.440365919717408</v>
      </c>
      <c r="BC17" s="92">
        <f>IFERROR('8'!BC9/'8'!BC13,0)</f>
        <v>45.754920188827853</v>
      </c>
      <c r="BD17" s="92">
        <f>IFERROR('8'!BD9/'8'!BD13,0)</f>
        <v>0</v>
      </c>
      <c r="BE17" s="92">
        <f>IFERROR('8'!BE9/'8'!BE13,0)</f>
        <v>0</v>
      </c>
      <c r="BF17" s="92">
        <f>IFERROR('8'!BF9/'8'!BF13,0)</f>
        <v>1.5368392111862621</v>
      </c>
      <c r="BG17" s="92">
        <f>IFERROR('8'!BG9/'8'!BG13,0)</f>
        <v>1.5779537818154996</v>
      </c>
      <c r="BH17" s="92">
        <f>IFERROR('8'!BH9/'8'!BH13,0)</f>
        <v>0</v>
      </c>
      <c r="BI17" s="92">
        <f>IFERROR('8'!BI9/'8'!BI13,0)</f>
        <v>0</v>
      </c>
      <c r="BJ17" s="92">
        <f>IFERROR('8'!BJ9/'8'!BJ13,0)</f>
        <v>3.3071931201811218</v>
      </c>
      <c r="BK17" s="92">
        <f>IFERROR('8'!BK9/'8'!BK13,0)</f>
        <v>3.3123690525193328</v>
      </c>
      <c r="BL17" s="92">
        <f>IFERROR('8'!BL9/'8'!BL13,0)</f>
        <v>2.7342343942761782</v>
      </c>
      <c r="BM17" s="92">
        <f>IFERROR('8'!BM9/'8'!BM13,0)</f>
        <v>4.8643013151634173</v>
      </c>
      <c r="BN17" s="92">
        <f>IFERROR('8'!BN9/'8'!BN13,0)</f>
        <v>0.63114897856575214</v>
      </c>
      <c r="BO17" s="92">
        <f>IFERROR('8'!BO9/'8'!BO13,0)</f>
        <v>0.4703943435754192</v>
      </c>
      <c r="BP17" s="92">
        <f>IFERROR('8'!BP9/'8'!BP13,0)</f>
        <v>5.2763494729738651</v>
      </c>
      <c r="BQ17" s="92">
        <f>IFERROR('8'!BQ9/'8'!BQ13,0)</f>
        <v>6.3130029120302789</v>
      </c>
      <c r="BR17" s="92">
        <f>IFERROR('8'!BR9/'8'!BR13,0)</f>
        <v>1.0265340270110064</v>
      </c>
      <c r="BS17" s="92">
        <f>IFERROR('8'!BS9/'8'!BS13,0)</f>
        <v>1.2325294814092653</v>
      </c>
      <c r="BT17" s="92">
        <f>IFERROR('8'!BT9/'8'!BT13,0)</f>
        <v>1.8170383501012282</v>
      </c>
      <c r="BU17" s="92">
        <f>IFERROR('8'!BU9/'8'!BU13,0)</f>
        <v>1.2742241279866562</v>
      </c>
      <c r="BV17" s="92">
        <f>IFERROR('8'!BV9/'8'!BV13,0)</f>
        <v>9.6375062118182537</v>
      </c>
      <c r="BW17" s="92">
        <f>IFERROR('8'!BW9/'8'!BW13,0)</f>
        <v>9.6375062118182537</v>
      </c>
      <c r="BX17" s="92">
        <f>IFERROR('8'!BX9/'8'!BX13,0)</f>
        <v>1.9761452981796188</v>
      </c>
      <c r="BY17" s="92">
        <f>IFERROR('8'!BY9/'8'!BY13,0)</f>
        <v>2.8342543232900241</v>
      </c>
      <c r="BZ17" s="92">
        <f>IFERROR('8'!BZ9/'8'!BZ13,0)</f>
        <v>0</v>
      </c>
      <c r="CA17" s="92">
        <f>IFERROR('8'!CA9/'8'!CA13,0)</f>
        <v>0</v>
      </c>
      <c r="CB17" s="92">
        <f>IFERROR('8'!CB9/'8'!CB13,0)</f>
        <v>1.1700004613601409</v>
      </c>
      <c r="CC17" s="92">
        <f>IFERROR('8'!CC9/'8'!CC13,0)</f>
        <v>1.0139637649262427</v>
      </c>
    </row>
    <row r="18" spans="1:81" s="31" customFormat="1" ht="21.75" customHeight="1" x14ac:dyDescent="0.2">
      <c r="A18" s="104" t="s">
        <v>83</v>
      </c>
      <c r="B18" s="92">
        <f>IFERROR('8'!B10/'8'!B14,0)</f>
        <v>1.4580401733483808</v>
      </c>
      <c r="C18" s="92">
        <f>IFERROR('8'!C10/'8'!C14,0)</f>
        <v>1.406080065500269</v>
      </c>
      <c r="D18" s="92">
        <f>IFERROR('8'!D10/'8'!D14,0)</f>
        <v>15.476113523886475</v>
      </c>
      <c r="E18" s="92">
        <f>IFERROR('8'!E10/'8'!E14,0)</f>
        <v>3.042081813811047</v>
      </c>
      <c r="F18" s="92">
        <f>IFERROR('8'!F10/'8'!F14,0)</f>
        <v>3.46152056630737</v>
      </c>
      <c r="G18" s="92">
        <f>IFERROR('8'!G10/'8'!G14,0)</f>
        <v>3.3836636381941436</v>
      </c>
      <c r="H18" s="92">
        <f>IFERROR('8'!H10/'8'!H14,0)</f>
        <v>1.4397504742762195</v>
      </c>
      <c r="I18" s="92">
        <f>IFERROR('8'!I10/'8'!I14,0)</f>
        <v>1.3013329434860625</v>
      </c>
      <c r="J18" s="92">
        <f>IFERROR('8'!J10/'8'!J14,0)</f>
        <v>8.2125464347890293</v>
      </c>
      <c r="K18" s="92">
        <f>IFERROR('8'!K10/'8'!K14,0)</f>
        <v>5.2206397820631985</v>
      </c>
      <c r="L18" s="92">
        <f>IFERROR('8'!L10/'8'!L14,0)</f>
        <v>7.7849866889174919</v>
      </c>
      <c r="M18" s="92">
        <f>IFERROR('8'!M10/'8'!M14,0)</f>
        <v>7.7849866889174919</v>
      </c>
      <c r="N18" s="92">
        <f>IFERROR('8'!N10/'8'!N14,0)</f>
        <v>3.6358650317884975</v>
      </c>
      <c r="O18" s="92">
        <f>IFERROR('8'!O10/'8'!O14,0)</f>
        <v>4.0217398130100737</v>
      </c>
      <c r="P18" s="92">
        <f>IFERROR('8'!P10/'8'!P14,0)</f>
        <v>0</v>
      </c>
      <c r="Q18" s="92">
        <f>IFERROR('8'!Q10/'8'!Q14,0)</f>
        <v>0</v>
      </c>
      <c r="R18" s="92">
        <f>IFERROR('8'!R10/'8'!R14,0)</f>
        <v>10.805957630826525</v>
      </c>
      <c r="S18" s="92">
        <f>IFERROR('8'!S10/'8'!S14,0)</f>
        <v>13.075921540691686</v>
      </c>
      <c r="T18" s="92">
        <f>IFERROR('8'!T10/'8'!T14,0)</f>
        <v>4.8701908470511173</v>
      </c>
      <c r="U18" s="92">
        <f>IFERROR('8'!U10/'8'!U14,0)</f>
        <v>4.4980104366456821</v>
      </c>
      <c r="V18" s="92">
        <f>IFERROR('8'!V10/'8'!V14,0)</f>
        <v>0</v>
      </c>
      <c r="W18" s="92">
        <f>IFERROR('8'!W10/'8'!W14,0)</f>
        <v>0</v>
      </c>
      <c r="X18" s="92">
        <f>IFERROR('8'!X10/'8'!X14,0)</f>
        <v>5.6444361862876375</v>
      </c>
      <c r="Y18" s="92">
        <f>IFERROR('8'!Y10/'8'!Y14,0)</f>
        <v>12.676744533070279</v>
      </c>
      <c r="Z18" s="92">
        <f>IFERROR('8'!Z10/'8'!Z14,0)</f>
        <v>4.9476197162430999</v>
      </c>
      <c r="AA18" s="92">
        <f>IFERROR('8'!AA10/'8'!AA14,0)</f>
        <v>3.333654145013428</v>
      </c>
      <c r="AB18" s="92">
        <f>IFERROR('8'!AB10/'8'!AB14,0)</f>
        <v>2.1320816129928701</v>
      </c>
      <c r="AC18" s="92">
        <f>IFERROR('8'!AC10/'8'!AC14,0)</f>
        <v>2.53586432502718</v>
      </c>
      <c r="AD18" s="92">
        <f>IFERROR('8'!AD10/'8'!AD14,0)</f>
        <v>2.2139703486057796</v>
      </c>
      <c r="AE18" s="92">
        <f>IFERROR('8'!AE10/'8'!AE14,0)</f>
        <v>2.4602586351584641</v>
      </c>
      <c r="AF18" s="92">
        <f>IFERROR('8'!AF10/'8'!AF14,0)</f>
        <v>3.080814761192455</v>
      </c>
      <c r="AG18" s="92">
        <f>IFERROR('8'!AG10/'8'!AG14,0)</f>
        <v>2.9331330625940129</v>
      </c>
      <c r="AH18" s="92">
        <f>IFERROR('8'!AH10/'8'!AH14,0)</f>
        <v>2.1283764171525759</v>
      </c>
      <c r="AI18" s="92">
        <f>IFERROR('8'!AI10/'8'!AI14,0)</f>
        <v>4.840106827245485</v>
      </c>
      <c r="AJ18" s="92">
        <f>IFERROR('8'!AJ10/'8'!AJ14,0)</f>
        <v>1.8463113573692371</v>
      </c>
      <c r="AK18" s="92">
        <f>IFERROR('8'!AK10/'8'!AK14,0)</f>
        <v>1.7005659097088031</v>
      </c>
      <c r="AL18" s="92">
        <f>IFERROR('8'!AL10/'8'!AL14,0)</f>
        <v>1.4365697283318906</v>
      </c>
      <c r="AM18" s="92">
        <f>IFERROR('8'!AM10/'8'!AM14,0)</f>
        <v>1.4657699549464416</v>
      </c>
      <c r="AN18" s="92">
        <f>IFERROR('8'!AN10/'8'!AN14,0)</f>
        <v>4.3512635884755637</v>
      </c>
      <c r="AO18" s="92">
        <f>IFERROR('8'!AO10/'8'!AO14,0)</f>
        <v>2.8667711415176527</v>
      </c>
      <c r="AP18" s="92">
        <f>IFERROR('8'!AP10/'8'!AP14,0)</f>
        <v>2.6365672453006783</v>
      </c>
      <c r="AQ18" s="92">
        <f>IFERROR('8'!AQ10/'8'!AQ14,0)</f>
        <v>2.693084763073518</v>
      </c>
      <c r="AR18" s="92">
        <f>IFERROR('8'!AR10/'8'!AR14,0)</f>
        <v>3.9481150449706397</v>
      </c>
      <c r="AS18" s="92">
        <f>IFERROR('8'!AS10/'8'!AS14,0)</f>
        <v>5.7249205351750057</v>
      </c>
      <c r="AT18" s="92">
        <f>IFERROR('8'!AT10/'8'!AT14,0)</f>
        <v>2.289046258417522</v>
      </c>
      <c r="AU18" s="92">
        <f>IFERROR('8'!AU10/'8'!AU14,0)</f>
        <v>2.6394516460559747</v>
      </c>
      <c r="AV18" s="92">
        <f>IFERROR('8'!AV10/'8'!AV14,0)</f>
        <v>0</v>
      </c>
      <c r="AW18" s="92">
        <f>IFERROR('8'!AW10/'8'!AW14,0)</f>
        <v>0</v>
      </c>
      <c r="AX18" s="92">
        <f>IFERROR('8'!AX10/'8'!AX14,0)</f>
        <v>0</v>
      </c>
      <c r="AY18" s="92">
        <f>IFERROR('8'!AY10/'8'!AY14,0)</f>
        <v>0</v>
      </c>
      <c r="AZ18" s="92">
        <f>IFERROR('8'!AZ10/'8'!AZ14,0)</f>
        <v>1.0029108903685915</v>
      </c>
      <c r="BA18" s="92">
        <f>IFERROR('8'!BA10/'8'!BA14,0)</f>
        <v>1.016926484970601</v>
      </c>
      <c r="BB18" s="92">
        <f>IFERROR('8'!BB10/'8'!BB14,0)</f>
        <v>2.770821038072258</v>
      </c>
      <c r="BC18" s="92">
        <f>IFERROR('8'!BC10/'8'!BC14,0)</f>
        <v>4.6901783448581122</v>
      </c>
      <c r="BD18" s="92">
        <f>IFERROR('8'!BD10/'8'!BD14,0)</f>
        <v>0</v>
      </c>
      <c r="BE18" s="92">
        <f>IFERROR('8'!BE10/'8'!BE14,0)</f>
        <v>0</v>
      </c>
      <c r="BF18" s="92">
        <f>IFERROR('8'!BF10/'8'!BF14,0)</f>
        <v>1.6727003506137963</v>
      </c>
      <c r="BG18" s="92">
        <f>IFERROR('8'!BG10/'8'!BG14,0)</f>
        <v>1.601347818786107</v>
      </c>
      <c r="BH18" s="92">
        <f>IFERROR('8'!BH10/'8'!BH14,0)</f>
        <v>7.5023762817497666</v>
      </c>
      <c r="BI18" s="92">
        <f>IFERROR('8'!BI10/'8'!BI14,0)</f>
        <v>4.7464280928247913</v>
      </c>
      <c r="BJ18" s="92">
        <f>IFERROR('8'!BJ10/'8'!BJ14,0)</f>
        <v>2.7930378296770186</v>
      </c>
      <c r="BK18" s="92">
        <f>IFERROR('8'!BK10/'8'!BK14,0)</f>
        <v>2.1204288662184254</v>
      </c>
      <c r="BL18" s="92">
        <f>IFERROR('8'!BL10/'8'!BL14,0)</f>
        <v>2.2433512409630798</v>
      </c>
      <c r="BM18" s="92">
        <f>IFERROR('8'!BM10/'8'!BM14,0)</f>
        <v>2.5198796748992969</v>
      </c>
      <c r="BN18" s="92">
        <f>IFERROR('8'!BN10/'8'!BN14,0)</f>
        <v>2.0198093855656691</v>
      </c>
      <c r="BO18" s="92">
        <f>IFERROR('8'!BO10/'8'!BO14,0)</f>
        <v>2.0173220690775997</v>
      </c>
      <c r="BP18" s="92">
        <f>IFERROR('8'!BP10/'8'!BP14,0)</f>
        <v>5.0778486061117922</v>
      </c>
      <c r="BQ18" s="92">
        <f>IFERROR('8'!BQ10/'8'!BQ14,0)</f>
        <v>3.3687670084260724</v>
      </c>
      <c r="BR18" s="92">
        <f>IFERROR('8'!BR10/'8'!BR14,0)</f>
        <v>1.3620953579219726</v>
      </c>
      <c r="BS18" s="92">
        <f>IFERROR('8'!BS10/'8'!BS14,0)</f>
        <v>1.0359689105318055</v>
      </c>
      <c r="BT18" s="92">
        <f>IFERROR('8'!BT10/'8'!BT14,0)</f>
        <v>1.6394704929768114</v>
      </c>
      <c r="BU18" s="92">
        <f>IFERROR('8'!BU10/'8'!BU14,0)</f>
        <v>1.2558781401316115</v>
      </c>
      <c r="BV18" s="92">
        <f>IFERROR('8'!BV10/'8'!BV14,0)</f>
        <v>3.3527549201123419</v>
      </c>
      <c r="BW18" s="92">
        <f>IFERROR('8'!BW10/'8'!BW14,0)</f>
        <v>2.8754564840009493</v>
      </c>
      <c r="BX18" s="92">
        <f>IFERROR('8'!BX10/'8'!BX14,0)</f>
        <v>1.8541157452674875</v>
      </c>
      <c r="BY18" s="92">
        <f>IFERROR('8'!BY10/'8'!BY14,0)</f>
        <v>2.7933778998377616</v>
      </c>
      <c r="BZ18" s="92">
        <f>IFERROR('8'!BZ10/'8'!BZ14,0)</f>
        <v>61.490163934426228</v>
      </c>
      <c r="CA18" s="92">
        <f>IFERROR('8'!CA10/'8'!CA14,0)</f>
        <v>24.397270420902863</v>
      </c>
      <c r="CB18" s="92">
        <f>IFERROR('8'!CB10/'8'!CB14,0)</f>
        <v>1.1686350084066222</v>
      </c>
      <c r="CC18" s="92">
        <f>IFERROR('8'!CC10/'8'!CC14,0)</f>
        <v>1.0948240030961562</v>
      </c>
    </row>
    <row r="19" spans="1:81" s="31" customFormat="1" ht="21.75" customHeight="1" x14ac:dyDescent="0.2">
      <c r="A19" s="107" t="s">
        <v>84</v>
      </c>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row>
    <row r="20" spans="1:81" s="31" customFormat="1" ht="21.75" customHeight="1" x14ac:dyDescent="0.2">
      <c r="A20" s="104" t="s">
        <v>85</v>
      </c>
      <c r="B20" s="92">
        <f>IFERROR('8'!B26/'8'!B10,0)</f>
        <v>0.31414784154849051</v>
      </c>
      <c r="C20" s="92">
        <f>IFERROR('8'!C26/'8'!C10,0)</f>
        <v>0.28880294619338748</v>
      </c>
      <c r="D20" s="92">
        <f>IFERROR('8'!D26/'8'!D10,0)</f>
        <v>0.93538429409576518</v>
      </c>
      <c r="E20" s="92">
        <f>IFERROR('8'!E26/'8'!E10,0)</f>
        <v>0.67127774293906184</v>
      </c>
      <c r="F20" s="92">
        <f>IFERROR('8'!F26/'8'!F10,0)</f>
        <v>0.71110961762484481</v>
      </c>
      <c r="G20" s="92">
        <f>IFERROR('8'!G26/'8'!G10,0)</f>
        <v>0.70446235000660451</v>
      </c>
      <c r="H20" s="92">
        <f>IFERROR('8'!H26/'8'!H10,0)</f>
        <v>0.30543520014972564</v>
      </c>
      <c r="I20" s="92">
        <f>IFERROR('8'!I26/'8'!I10,0)</f>
        <v>0.23155714684271328</v>
      </c>
      <c r="J20" s="92">
        <f>IFERROR('8'!J26/'8'!J10,0)</f>
        <v>0.87823508726064348</v>
      </c>
      <c r="K20" s="92">
        <f>IFERROR('8'!K26/'8'!K10,0)</f>
        <v>0.80845259551602322</v>
      </c>
      <c r="L20" s="92">
        <f>IFERROR('8'!L26/'8'!L10,0)</f>
        <v>0.87154762879381997</v>
      </c>
      <c r="M20" s="92">
        <f>IFERROR('8'!M26/'8'!M10,0)</f>
        <v>0.87154762879381997</v>
      </c>
      <c r="N20" s="92">
        <f>IFERROR('8'!N26/'8'!N10,0)</f>
        <v>0.72496228785805727</v>
      </c>
      <c r="O20" s="92">
        <f>IFERROR('8'!O26/'8'!O10,0)</f>
        <v>0.75135139355234692</v>
      </c>
      <c r="P20" s="92">
        <f>IFERROR('8'!P26/'8'!P10,0)</f>
        <v>0</v>
      </c>
      <c r="Q20" s="92">
        <f>IFERROR('8'!Q26/'8'!Q10,0)</f>
        <v>0</v>
      </c>
      <c r="R20" s="92">
        <f>IFERROR('8'!R26/'8'!R10,0)</f>
        <v>0.90745845632901001</v>
      </c>
      <c r="S20" s="92">
        <f>IFERROR('8'!S26/'8'!S10,0)</f>
        <v>0.92352355458175206</v>
      </c>
      <c r="T20" s="92">
        <f>IFERROR('8'!T26/'8'!T10,0)</f>
        <v>0.79466923752988117</v>
      </c>
      <c r="U20" s="92">
        <f>IFERROR('8'!U26/'8'!U10,0)</f>
        <v>0.77767948427755684</v>
      </c>
      <c r="V20" s="92">
        <f>IFERROR('8'!V26/'8'!V10,0)</f>
        <v>0</v>
      </c>
      <c r="W20" s="92">
        <f>IFERROR('8'!W26/'8'!W10,0)</f>
        <v>0</v>
      </c>
      <c r="X20" s="92">
        <f>IFERROR('8'!X26/'8'!X10,0)</f>
        <v>0.82283438646549689</v>
      </c>
      <c r="Y20" s="92">
        <f>IFERROR('8'!Y26/'8'!Y10,0)</f>
        <v>0.92111539383070595</v>
      </c>
      <c r="Z20" s="92">
        <f>IFERROR('8'!Z26/'8'!Z10,0)</f>
        <v>0.79788260671753186</v>
      </c>
      <c r="AA20" s="92">
        <f>IFERROR('8'!AA26/'8'!AA10,0)</f>
        <v>0.70002887027263228</v>
      </c>
      <c r="AB20" s="92">
        <f>IFERROR('8'!AB26/'8'!AB10,0)</f>
        <v>0.53097480232181704</v>
      </c>
      <c r="AC20" s="92">
        <f>IFERROR('8'!AC26/'8'!AC10,0)</f>
        <v>0.60565713625499984</v>
      </c>
      <c r="AD20" s="92">
        <f>IFERROR('8'!AD26/'8'!AD10,0)</f>
        <v>0.5483227674527178</v>
      </c>
      <c r="AE20" s="92">
        <f>IFERROR('8'!AE26/'8'!AE10,0)</f>
        <v>0.59353866877675221</v>
      </c>
      <c r="AF20" s="92">
        <f>IFERROR('8'!AF26/'8'!AF10,0)</f>
        <v>0.67541053990115862</v>
      </c>
      <c r="AG20" s="92">
        <f>IFERROR('8'!AG26/'8'!AG10,0)</f>
        <v>0.65906763223499409</v>
      </c>
      <c r="AH20" s="92">
        <f>IFERROR('8'!AH26/'8'!AH10,0)</f>
        <v>0.53015829721612939</v>
      </c>
      <c r="AI20" s="92">
        <f>IFERROR('8'!AI26/'8'!AI10,0)</f>
        <v>0.79339298992929419</v>
      </c>
      <c r="AJ20" s="92">
        <f>IFERROR('8'!AJ26/'8'!AJ10,0)</f>
        <v>0.45837954361886446</v>
      </c>
      <c r="AK20" s="92">
        <f>IFERROR('8'!AK26/'8'!AK10,0)</f>
        <v>0.41196045722730307</v>
      </c>
      <c r="AL20" s="92">
        <f>IFERROR('8'!AL26/'8'!AL10,0)</f>
        <v>0.30389734638138627</v>
      </c>
      <c r="AM20" s="92">
        <f>IFERROR('8'!AM26/'8'!AM10,0)</f>
        <v>0.31776470337288398</v>
      </c>
      <c r="AN20" s="92">
        <f>IFERROR('8'!AN26/'8'!AN10,0)</f>
        <v>0.77018170017359411</v>
      </c>
      <c r="AO20" s="92">
        <f>IFERROR('8'!AO26/'8'!AO10,0)</f>
        <v>0.65117550350719466</v>
      </c>
      <c r="AP20" s="92">
        <f>IFERROR('8'!AP26/'8'!AP10,0)</f>
        <v>0.62071894741832823</v>
      </c>
      <c r="AQ20" s="92">
        <f>IFERROR('8'!AQ26/'8'!AQ10,0)</f>
        <v>0.62867860168696021</v>
      </c>
      <c r="AR20" s="92">
        <f>IFERROR('8'!AR26/'8'!AR10,0)</f>
        <v>0.74671457426908983</v>
      </c>
      <c r="AS20" s="92">
        <f>IFERROR('8'!AS26/'8'!AS10,0)</f>
        <v>0.82532508637354718</v>
      </c>
      <c r="AT20" s="92">
        <f>IFERROR('8'!AT26/'8'!AT10,0)</f>
        <v>0.56313683206589005</v>
      </c>
      <c r="AU20" s="92">
        <f>IFERROR('8'!AU26/'8'!AU10,0)</f>
        <v>0.62113342690165996</v>
      </c>
      <c r="AV20" s="92">
        <f>IFERROR('8'!AV26/'8'!AV10,0)</f>
        <v>0</v>
      </c>
      <c r="AW20" s="92">
        <f>IFERROR('8'!AW26/'8'!AW10,0)</f>
        <v>0</v>
      </c>
      <c r="AX20" s="92">
        <f>IFERROR('8'!AX26/'8'!AX10,0)</f>
        <v>0</v>
      </c>
      <c r="AY20" s="92">
        <f>IFERROR('8'!AY26/'8'!AY10,0)</f>
        <v>0</v>
      </c>
      <c r="AZ20" s="92">
        <f>IFERROR('8'!AZ26/'8'!AZ10,0)</f>
        <v>2.9024416790625115E-3</v>
      </c>
      <c r="BA20" s="92">
        <f>IFERROR('8'!BA26/'8'!BA10,0)</f>
        <v>1.6644747895508294E-2</v>
      </c>
      <c r="BB20" s="92">
        <f>IFERROR('8'!BB26/'8'!BB10,0)</f>
        <v>0.63909614289065397</v>
      </c>
      <c r="BC20" s="92">
        <f>IFERROR('8'!BC26/'8'!BC10,0)</f>
        <v>0.78678849150879093</v>
      </c>
      <c r="BD20" s="92">
        <f>IFERROR('8'!BD26/'8'!BD10,0)</f>
        <v>0</v>
      </c>
      <c r="BE20" s="92">
        <f>IFERROR('8'!BE26/'8'!BE10,0)</f>
        <v>0</v>
      </c>
      <c r="BF20" s="92">
        <f>IFERROR('8'!BF26/'8'!BF10,0)</f>
        <v>0.40216429103213214</v>
      </c>
      <c r="BG20" s="92">
        <f>IFERROR('8'!BG26/'8'!BG10,0)</f>
        <v>0.37552604857697652</v>
      </c>
      <c r="BH20" s="92">
        <f>IFERROR('8'!BH26/'8'!BH10,0)</f>
        <v>0.8667088982949851</v>
      </c>
      <c r="BI20" s="92">
        <f>IFERROR('8'!BI26/'8'!BI10,0)</f>
        <v>0.78931525339829611</v>
      </c>
      <c r="BJ20" s="92">
        <f>IFERROR('8'!BJ26/'8'!BJ10,0)</f>
        <v>0.64196689734215373</v>
      </c>
      <c r="BK20" s="92">
        <f>IFERROR('8'!BK26/'8'!BK10,0)</f>
        <v>0.52839728984476575</v>
      </c>
      <c r="BL20" s="92">
        <f>IFERROR('8'!BL26/'8'!BL10,0)</f>
        <v>0.55423832802450679</v>
      </c>
      <c r="BM20" s="92">
        <f>IFERROR('8'!BM26/'8'!BM10,0)</f>
        <v>0.60315565462864273</v>
      </c>
      <c r="BN20" s="92">
        <f>IFERROR('8'!BN26/'8'!BN10,0)</f>
        <v>0.50490377599669423</v>
      </c>
      <c r="BO20" s="92">
        <f>IFERROR('8'!BO26/'8'!BO10,0)</f>
        <v>0.50429333256774411</v>
      </c>
      <c r="BP20" s="92">
        <f>IFERROR('8'!BP26/'8'!BP10,0)</f>
        <v>0.80306620429833586</v>
      </c>
      <c r="BQ20" s="92">
        <f>IFERROR('8'!BQ26/'8'!BQ10,0)</f>
        <v>0.70315548760161606</v>
      </c>
      <c r="BR20" s="92">
        <f>IFERROR('8'!BR26/'8'!BR10,0)</f>
        <v>0.26583701046774666</v>
      </c>
      <c r="BS20" s="92">
        <f>IFERROR('8'!BS26/'8'!BS10,0)</f>
        <v>3.4720067529189783E-2</v>
      </c>
      <c r="BT20" s="92">
        <f>IFERROR('8'!BT26/'8'!BT10,0)</f>
        <v>0.39004696682019274</v>
      </c>
      <c r="BU20" s="92">
        <f>IFERROR('8'!BU26/'8'!BU10,0)</f>
        <v>0.20374440159042537</v>
      </c>
      <c r="BV20" s="92">
        <f>IFERROR('8'!BV26/'8'!BV10,0)</f>
        <v>0.70173781745833874</v>
      </c>
      <c r="BW20" s="92">
        <f>IFERROR('8'!BW26/'8'!BW10,0)</f>
        <v>0.65222913107396907</v>
      </c>
      <c r="BX20" s="92">
        <f>IFERROR('8'!BX26/'8'!BX10,0)</f>
        <v>0.46065934526879648</v>
      </c>
      <c r="BY20" s="92">
        <f>IFERROR('8'!BY26/'8'!BY10,0)</f>
        <v>0.64201048484772516</v>
      </c>
      <c r="BZ20" s="92">
        <f>IFERROR('8'!BZ26/'8'!BZ10,0)</f>
        <v>0.98373723639659816</v>
      </c>
      <c r="CA20" s="92">
        <f>IFERROR('8'!CA26/'8'!CA10,0)</f>
        <v>0.95901180817575271</v>
      </c>
      <c r="CB20" s="92">
        <f>IFERROR('8'!CB26/'8'!CB10,0)</f>
        <v>0.14430083575585154</v>
      </c>
      <c r="CC20" s="92">
        <f>IFERROR('8'!CC26/'8'!CC10,0)</f>
        <v>8.6611183923621049E-2</v>
      </c>
    </row>
    <row r="21" spans="1:81" s="31" customFormat="1" ht="21.75" customHeight="1" x14ac:dyDescent="0.2">
      <c r="A21" s="107" t="s">
        <v>86</v>
      </c>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row>
    <row r="22" spans="1:81" s="31" customFormat="1" ht="21.75" customHeight="1" x14ac:dyDescent="0.2">
      <c r="A22" s="104" t="s">
        <v>87</v>
      </c>
      <c r="B22" s="92">
        <f>IFERROR('8'!B31/'8'!B28,)</f>
        <v>8.4432153703747057E-2</v>
      </c>
      <c r="C22" s="92">
        <f>IFERROR('8'!C31/'8'!C28,)</f>
        <v>9.3900706170421663E-2</v>
      </c>
      <c r="D22" s="92">
        <f>IFERROR('8'!D31/'8'!D28,)</f>
        <v>3.037141475663618E-2</v>
      </c>
      <c r="E22" s="92">
        <f>IFERROR('8'!E31/'8'!E28,)</f>
        <v>-1.2707157707157708</v>
      </c>
      <c r="F22" s="92">
        <f>IFERROR('8'!F31/'8'!F28,)</f>
        <v>0.27959955952764814</v>
      </c>
      <c r="G22" s="92">
        <f>IFERROR('8'!G31/'8'!G28,)</f>
        <v>0.3759672222389866</v>
      </c>
      <c r="H22" s="92">
        <f>IFERROR('8'!H31/'8'!H28,)</f>
        <v>0.14382308546865649</v>
      </c>
      <c r="I22" s="92">
        <f>IFERROR('8'!I31/'8'!I28,)</f>
        <v>-0.19082711053272161</v>
      </c>
      <c r="J22" s="92">
        <f>IFERROR('8'!J31/'8'!J28,)</f>
        <v>1.2598373497119073E-2</v>
      </c>
      <c r="K22" s="92">
        <f>IFERROR('8'!K31/'8'!K28,)</f>
        <v>2.5940456017965043E-2</v>
      </c>
      <c r="L22" s="92">
        <f>IFERROR('8'!L31/'8'!L28,)</f>
        <v>0</v>
      </c>
      <c r="M22" s="92">
        <f>IFERROR('8'!M31/'8'!M28,)</f>
        <v>0</v>
      </c>
      <c r="N22" s="92">
        <f>IFERROR('8'!N31/'8'!N28,)</f>
        <v>9.2368012510340297E-2</v>
      </c>
      <c r="O22" s="92">
        <f>IFERROR('8'!O31/'8'!O28,)</f>
        <v>8.5570816041088668E-2</v>
      </c>
      <c r="P22" s="92">
        <f>IFERROR('8'!P31/'8'!P28,)</f>
        <v>0</v>
      </c>
      <c r="Q22" s="92">
        <f>IFERROR('8'!Q31/'8'!Q28,)</f>
        <v>0</v>
      </c>
      <c r="R22" s="92">
        <f>IFERROR('8'!R31/'8'!R28,)</f>
        <v>0.82261019506412325</v>
      </c>
      <c r="S22" s="92">
        <f>IFERROR('8'!S31/'8'!S28,)</f>
        <v>0.36636271864910319</v>
      </c>
      <c r="T22" s="92">
        <f>IFERROR('8'!T31/'8'!T28,)</f>
        <v>-8.0019079370674748E-2</v>
      </c>
      <c r="U22" s="92">
        <f>IFERROR('8'!U31/'8'!U28,)</f>
        <v>9.5666103789868048E-2</v>
      </c>
      <c r="V22" s="92">
        <f>IFERROR('8'!V31/'8'!V28,)</f>
        <v>0</v>
      </c>
      <c r="W22" s="92">
        <f>IFERROR('8'!W31/'8'!W28,)</f>
        <v>0</v>
      </c>
      <c r="X22" s="92">
        <f>IFERROR('8'!X31/'8'!X28,)</f>
        <v>2.7938314525996853E-2</v>
      </c>
      <c r="Y22" s="92">
        <f>IFERROR('8'!Y31/'8'!Y28,)</f>
        <v>2.6112763793058318E-2</v>
      </c>
      <c r="Z22" s="92">
        <f>IFERROR('8'!Z31/'8'!Z28,)</f>
        <v>6.7882487804829389E-2</v>
      </c>
      <c r="AA22" s="92">
        <f>IFERROR('8'!AA31/'8'!AA28,)</f>
        <v>4.6884790679547164E-2</v>
      </c>
      <c r="AB22" s="92">
        <f>IFERROR('8'!AB31/'8'!AB28,)</f>
        <v>7.7279814705192074E-2</v>
      </c>
      <c r="AC22" s="92">
        <f>IFERROR('8'!AC31/'8'!AC28,)</f>
        <v>0.17086576970684592</v>
      </c>
      <c r="AD22" s="92">
        <f>IFERROR('8'!AD31/'8'!AD28,)</f>
        <v>0</v>
      </c>
      <c r="AE22" s="92">
        <f>IFERROR('8'!AE31/'8'!AE28,)</f>
        <v>0</v>
      </c>
      <c r="AF22" s="92">
        <f>IFERROR('8'!AF31/'8'!AF28,)</f>
        <v>-7.2641681978710959E-2</v>
      </c>
      <c r="AG22" s="92">
        <f>IFERROR('8'!AG31/'8'!AG28,)</f>
        <v>-0.10195125363680221</v>
      </c>
      <c r="AH22" s="92">
        <f>IFERROR('8'!AH31/'8'!AH28,)</f>
        <v>0.24913954104205285</v>
      </c>
      <c r="AI22" s="92">
        <f>IFERROR('8'!AI31/'8'!AI28,)</f>
        <v>3.6266449421600434E-2</v>
      </c>
      <c r="AJ22" s="92">
        <f>IFERROR('8'!AJ31/'8'!AJ28,)</f>
        <v>6.6447466672701599E-2</v>
      </c>
      <c r="AK22" s="92">
        <f>IFERROR('8'!AK31/'8'!AK28,)</f>
        <v>8.0158870934831469E-2</v>
      </c>
      <c r="AL22" s="92">
        <f>IFERROR('8'!AL31/'8'!AL28,)</f>
        <v>-5.0174325497744789E-2</v>
      </c>
      <c r="AM22" s="92">
        <f>IFERROR('8'!AM31/'8'!AM28,)</f>
        <v>-2.8589883258834103E-3</v>
      </c>
      <c r="AN22" s="92">
        <f>IFERROR('8'!AN31/'8'!AN28,)</f>
        <v>5.4858132418195815E-2</v>
      </c>
      <c r="AO22" s="92">
        <f>IFERROR('8'!AO31/'8'!AO28,)</f>
        <v>1.5245570279249313E-2</v>
      </c>
      <c r="AP22" s="92">
        <f>IFERROR('8'!AP31/'8'!AP28,)</f>
        <v>3.836584325573407E-2</v>
      </c>
      <c r="AQ22" s="92">
        <f>IFERROR('8'!AQ31/'8'!AQ28,)</f>
        <v>6.5338882474491738E-2</v>
      </c>
      <c r="AR22" s="92">
        <f>IFERROR('8'!AR31/'8'!AR28,)</f>
        <v>0.11749030447177672</v>
      </c>
      <c r="AS22" s="92">
        <f>IFERROR('8'!AS31/'8'!AS28,)</f>
        <v>-0.14004940775970673</v>
      </c>
      <c r="AT22" s="92">
        <f>IFERROR('8'!AT31/'8'!AT28,)</f>
        <v>0.12170098597427138</v>
      </c>
      <c r="AU22" s="92">
        <f>IFERROR('8'!AU31/'8'!AU28,)</f>
        <v>0.11651813609432765</v>
      </c>
      <c r="AV22" s="92">
        <f>IFERROR('8'!AV31/'8'!AV28,)</f>
        <v>0</v>
      </c>
      <c r="AW22" s="92">
        <f>IFERROR('8'!AW31/'8'!AW28,)</f>
        <v>0</v>
      </c>
      <c r="AX22" s="92">
        <f>IFERROR('8'!AX31/'8'!AX28,)</f>
        <v>0</v>
      </c>
      <c r="AY22" s="92">
        <f>IFERROR('8'!AY31/'8'!AY28,)</f>
        <v>0</v>
      </c>
      <c r="AZ22" s="92">
        <f>IFERROR('8'!AZ31/'8'!AZ28,)</f>
        <v>-0.5662546885568468</v>
      </c>
      <c r="BA22" s="92">
        <f>IFERROR('8'!BA31/'8'!BA28,)</f>
        <v>-0.73701142887613091</v>
      </c>
      <c r="BB22" s="92">
        <f>IFERROR('8'!BB31/'8'!BB28,)</f>
        <v>7.6092875833761564E-2</v>
      </c>
      <c r="BC22" s="92">
        <f>IFERROR('8'!BC31/'8'!BC28,)</f>
        <v>7.7393122616801147E-2</v>
      </c>
      <c r="BD22" s="92">
        <f>IFERROR('8'!BD31/'8'!BD28,)</f>
        <v>0</v>
      </c>
      <c r="BE22" s="92">
        <f>IFERROR('8'!BE31/'8'!BE28,)</f>
        <v>0</v>
      </c>
      <c r="BF22" s="92">
        <f>IFERROR('8'!BF31/'8'!BF28,)</f>
        <v>0.12618312385803035</v>
      </c>
      <c r="BG22" s="92">
        <f>IFERROR('8'!BG31/'8'!BG28,)</f>
        <v>0.20496569413160104</v>
      </c>
      <c r="BH22" s="92">
        <f>IFERROR('8'!BH31/'8'!BH28,)</f>
        <v>0.36744106217869038</v>
      </c>
      <c r="BI22" s="92">
        <f>IFERROR('8'!BI31/'8'!BI28,)</f>
        <v>0.16633757067325888</v>
      </c>
      <c r="BJ22" s="92">
        <f>IFERROR('8'!BJ31/'8'!BJ28,)</f>
        <v>0.36983078380307916</v>
      </c>
      <c r="BK22" s="92">
        <f>IFERROR('8'!BK31/'8'!BK28,)</f>
        <v>0.30174624888086304</v>
      </c>
      <c r="BL22" s="92">
        <f>IFERROR('8'!BL31/'8'!BL28,)</f>
        <v>0.20150418194977746</v>
      </c>
      <c r="BM22" s="92">
        <f>IFERROR('8'!BM31/'8'!BM28,)</f>
        <v>0.19342015846556376</v>
      </c>
      <c r="BN22" s="92">
        <f>IFERROR('8'!BN31/'8'!BN28,)</f>
        <v>0.1252354564550377</v>
      </c>
      <c r="BO22" s="92">
        <f>IFERROR('8'!BO31/'8'!BO28,)</f>
        <v>0.12445336071205643</v>
      </c>
      <c r="BP22" s="92">
        <f>IFERROR('8'!BP31/'8'!BP28,)</f>
        <v>-7.5773677736777373E-2</v>
      </c>
      <c r="BQ22" s="92">
        <f>IFERROR('8'!BQ31/'8'!BQ28,)</f>
        <v>5.7667716443678491E-2</v>
      </c>
      <c r="BR22" s="92">
        <f>IFERROR('8'!BR31/'8'!BR28,)</f>
        <v>0.16569419828151363</v>
      </c>
      <c r="BS22" s="92">
        <f>IFERROR('8'!BS31/'8'!BS28,)</f>
        <v>-0.11895949881962908</v>
      </c>
      <c r="BT22" s="92">
        <f>IFERROR('8'!BT31/'8'!BT28,)</f>
        <v>-0.20637198757407532</v>
      </c>
      <c r="BU22" s="92">
        <f>IFERROR('8'!BU31/'8'!BU28,)</f>
        <v>-0.18330708347195568</v>
      </c>
      <c r="BV22" s="92">
        <f>IFERROR('8'!BV31/'8'!BV28,)</f>
        <v>0.15940860949801985</v>
      </c>
      <c r="BW22" s="92">
        <f>IFERROR('8'!BW31/'8'!BW28,)</f>
        <v>3.5522938097622747E-2</v>
      </c>
      <c r="BX22" s="92">
        <f>IFERROR('8'!BX31/'8'!BX28,)</f>
        <v>-0.92348410371774314</v>
      </c>
      <c r="BY22" s="92">
        <f>IFERROR('8'!BY31/'8'!BY28,)</f>
        <v>-1.4042025605090509E-2</v>
      </c>
      <c r="BZ22" s="92">
        <f>IFERROR('8'!BZ31/'8'!BZ28,)</f>
        <v>0</v>
      </c>
      <c r="CA22" s="92">
        <f>IFERROR('8'!CA31/'8'!CA28,)</f>
        <v>9.1819351081126988E-2</v>
      </c>
      <c r="CB22" s="92">
        <f>IFERROR('8'!CB31/'8'!CB28,)</f>
        <v>-2.547425280630243E-2</v>
      </c>
      <c r="CC22" s="92">
        <f>IFERROR('8'!CC31/'8'!CC28,)</f>
        <v>4.0279363535951178E-2</v>
      </c>
    </row>
    <row r="23" spans="1:81" s="31" customFormat="1" ht="21.75" customHeight="1" x14ac:dyDescent="0.2">
      <c r="A23" s="104" t="s">
        <v>88</v>
      </c>
      <c r="B23" s="92">
        <f>IFERROR(+'8'!B36/'8'!B28,0)</f>
        <v>3.2937855659298167E-2</v>
      </c>
      <c r="C23" s="92">
        <f>IFERROR(+'8'!C36/'8'!C28,0)</f>
        <v>5.4956103403728705E-4</v>
      </c>
      <c r="D23" s="92">
        <f>IFERROR(+'8'!D36/'8'!D28,0)</f>
        <v>1.3460483598997208E-2</v>
      </c>
      <c r="E23" s="92">
        <f>IFERROR(+'8'!E36/'8'!E28,0)</f>
        <v>-1.2707157707157708</v>
      </c>
      <c r="F23" s="92">
        <f>IFERROR(+'8'!F36/'8'!F28,0)</f>
        <v>-0.50747707901124905</v>
      </c>
      <c r="G23" s="92">
        <f>IFERROR(+'8'!G36/'8'!G28,0)</f>
        <v>4.8502771155838542E-3</v>
      </c>
      <c r="H23" s="92">
        <f>IFERROR(+'8'!H36/'8'!H28,0)</f>
        <v>4.2312833240767081E-2</v>
      </c>
      <c r="I23" s="92">
        <f>IFERROR(+'8'!I36/'8'!I28,0)</f>
        <v>4.1213230249723669E-2</v>
      </c>
      <c r="J23" s="92">
        <f>IFERROR(+'8'!J36/'8'!J28,0)</f>
        <v>1.9189426182219881E-2</v>
      </c>
      <c r="K23" s="92">
        <f>IFERROR(+'8'!K36/'8'!K28,0)</f>
        <v>1.5697964226699754E-2</v>
      </c>
      <c r="L23" s="92">
        <f>IFERROR(+'8'!L36/'8'!L28,0)</f>
        <v>0</v>
      </c>
      <c r="M23" s="92">
        <f>IFERROR(+'8'!M36/'8'!M28,0)</f>
        <v>0</v>
      </c>
      <c r="N23" s="92">
        <f>IFERROR(+'8'!N36/'8'!N28,0)</f>
        <v>9.2368012510340297E-2</v>
      </c>
      <c r="O23" s="92">
        <f>IFERROR(+'8'!O36/'8'!O28,0)</f>
        <v>8.5570816041088668E-2</v>
      </c>
      <c r="P23" s="92">
        <f>IFERROR(+'8'!P36/'8'!P28,0)</f>
        <v>0</v>
      </c>
      <c r="Q23" s="92">
        <f>IFERROR(+'8'!Q36/'8'!Q28,0)</f>
        <v>0</v>
      </c>
      <c r="R23" s="92">
        <f>IFERROR(+'8'!R36/'8'!R28,0)</f>
        <v>0.56760103459424505</v>
      </c>
      <c r="S23" s="92">
        <f>IFERROR(+'8'!S36/'8'!S28,0)</f>
        <v>0.23813576547844548</v>
      </c>
      <c r="T23" s="92">
        <f>IFERROR(+'8'!T36/'8'!T28,0)</f>
        <v>5.4031848428039032E-3</v>
      </c>
      <c r="U23" s="92">
        <f>IFERROR(+'8'!U36/'8'!U28,0)</f>
        <v>2.6543819080855773E-2</v>
      </c>
      <c r="V23" s="92">
        <f>IFERROR(+'8'!V36/'8'!V28,0)</f>
        <v>0</v>
      </c>
      <c r="W23" s="92">
        <f>IFERROR(+'8'!W36/'8'!W28,0)</f>
        <v>0</v>
      </c>
      <c r="X23" s="92">
        <f>IFERROR(+'8'!X36/'8'!X28,0)</f>
        <v>2.5144483073397169E-2</v>
      </c>
      <c r="Y23" s="92">
        <f>IFERROR(+'8'!Y36/'8'!Y28,0)</f>
        <v>2.3501487413752485E-2</v>
      </c>
      <c r="Z23" s="92">
        <f>IFERROR(+'8'!Z36/'8'!Z28,0)</f>
        <v>6.2025849677638786E-2</v>
      </c>
      <c r="AA23" s="92">
        <f>IFERROR(+'8'!AA36/'8'!AA28,0)</f>
        <v>4.9261319671360876E-3</v>
      </c>
      <c r="AB23" s="92">
        <f>IFERROR(+'8'!AB36/'8'!AB28,0)</f>
        <v>3.6672032260290491E-2</v>
      </c>
      <c r="AC23" s="92">
        <f>IFERROR(+'8'!AC36/'8'!AC28,0)</f>
        <v>5.5946968563020387E-2</v>
      </c>
      <c r="AD23" s="92">
        <f>IFERROR(+'8'!AD36/'8'!AD28,0)</f>
        <v>0</v>
      </c>
      <c r="AE23" s="92">
        <f>IFERROR(+'8'!AE36/'8'!AE28,0)</f>
        <v>0</v>
      </c>
      <c r="AF23" s="92">
        <f>IFERROR(+'8'!AF36/'8'!AF28,0)</f>
        <v>0.29710762142682284</v>
      </c>
      <c r="AG23" s="92">
        <f>IFERROR(+'8'!AG36/'8'!AG28,0)</f>
        <v>0.2147521117246983</v>
      </c>
      <c r="AH23" s="92">
        <f>IFERROR(+'8'!AH36/'8'!AH28,0)</f>
        <v>0.21429852288653933</v>
      </c>
      <c r="AI23" s="92">
        <f>IFERROR(+'8'!AI36/'8'!AI28,0)</f>
        <v>1.0024147192198955E-2</v>
      </c>
      <c r="AJ23" s="92">
        <f>IFERROR(+'8'!AJ36/'8'!AJ28,0)</f>
        <v>4.2289205086715749E-2</v>
      </c>
      <c r="AK23" s="92">
        <f>IFERROR(+'8'!AK36/'8'!AK28,0)</f>
        <v>4.4428779817979963E-2</v>
      </c>
      <c r="AL23" s="92">
        <f>IFERROR(+'8'!AL36/'8'!AL28,0)</f>
        <v>-0.136560052050057</v>
      </c>
      <c r="AM23" s="92">
        <f>IFERROR(+'8'!AM36/'8'!AM28,0)</f>
        <v>0.14026798938561871</v>
      </c>
      <c r="AN23" s="92">
        <f>IFERROR(+'8'!AN36/'8'!AN28,0)</f>
        <v>0.39139966785706742</v>
      </c>
      <c r="AO23" s="92">
        <f>IFERROR(+'8'!AO36/'8'!AO28,0)</f>
        <v>0.24155306691959974</v>
      </c>
      <c r="AP23" s="92">
        <f>IFERROR(+'8'!AP36/'8'!AP28,0)</f>
        <v>1.8194921749120636E-2</v>
      </c>
      <c r="AQ23" s="92">
        <f>IFERROR(+'8'!AQ36/'8'!AQ28,0)</f>
        <v>3.5535386901730276E-2</v>
      </c>
      <c r="AR23" s="92">
        <f>IFERROR(+'8'!AR36/'8'!AR28,0)</f>
        <v>5.9375100953320104E-2</v>
      </c>
      <c r="AS23" s="92">
        <f>IFERROR(+'8'!AS36/'8'!AS28,0)</f>
        <v>6.1458444098501298E-2</v>
      </c>
      <c r="AT23" s="92">
        <f>IFERROR(+'8'!AT36/'8'!AT28,0)</f>
        <v>3.8068071888099436E-2</v>
      </c>
      <c r="AU23" s="92">
        <f>IFERROR(+'8'!AU36/'8'!AU28,0)</f>
        <v>5.4892627154664128E-2</v>
      </c>
      <c r="AV23" s="92">
        <f>IFERROR(+'8'!AV36/'8'!AV28,0)</f>
        <v>0</v>
      </c>
      <c r="AW23" s="92">
        <f>IFERROR(+'8'!AW36/'8'!AW28,0)</f>
        <v>0</v>
      </c>
      <c r="AX23" s="92">
        <f>IFERROR(+'8'!AX36/'8'!AX28,0)</f>
        <v>0</v>
      </c>
      <c r="AY23" s="92">
        <f>IFERROR(+'8'!AY36/'8'!AY28,0)</f>
        <v>0</v>
      </c>
      <c r="AZ23" s="92">
        <f>IFERROR(+'8'!AZ36/'8'!AZ28,0)</f>
        <v>-9.6230707741499111E-2</v>
      </c>
      <c r="BA23" s="92">
        <f>IFERROR(+'8'!BA36/'8'!BA28,0)</f>
        <v>-8.0357618954515556E-2</v>
      </c>
      <c r="BB23" s="92">
        <f>IFERROR(+'8'!BB36/'8'!BB28,0)</f>
        <v>4.9798816861530912E-2</v>
      </c>
      <c r="BC23" s="92">
        <f>IFERROR(+'8'!BC36/'8'!BC28,0)</f>
        <v>4.5957621353702981E-2</v>
      </c>
      <c r="BD23" s="92">
        <f>IFERROR(+'8'!BD36/'8'!BD28,0)</f>
        <v>0</v>
      </c>
      <c r="BE23" s="92">
        <f>IFERROR(+'8'!BE36/'8'!BE28,0)</f>
        <v>0</v>
      </c>
      <c r="BF23" s="92">
        <f>IFERROR(+'8'!BF36/'8'!BF28,0)</f>
        <v>4.871437321851034E-2</v>
      </c>
      <c r="BG23" s="92">
        <f>IFERROR(+'8'!BG36/'8'!BG28,0)</f>
        <v>9.9854135475351033E-2</v>
      </c>
      <c r="BH23" s="92">
        <f>IFERROR(+'8'!BH36/'8'!BH28,0)</f>
        <v>3.9870973847466809E-2</v>
      </c>
      <c r="BI23" s="92">
        <f>IFERROR(+'8'!BI36/'8'!BI28,0)</f>
        <v>2.7637327257681771E-2</v>
      </c>
      <c r="BJ23" s="92">
        <f>IFERROR(+'8'!BJ36/'8'!BJ28,0)</f>
        <v>2.5517778750918076E-2</v>
      </c>
      <c r="BK23" s="92">
        <f>IFERROR(+'8'!BK36/'8'!BK28,0)</f>
        <v>1.6555198028715825E-2</v>
      </c>
      <c r="BL23" s="92">
        <f>IFERROR(+'8'!BL36/'8'!BL28,0)</f>
        <v>3.2262801284546387E-2</v>
      </c>
      <c r="BM23" s="92">
        <f>IFERROR(+'8'!BM36/'8'!BM28,0)</f>
        <v>3.6108293653985678E-2</v>
      </c>
      <c r="BN23" s="92">
        <f>IFERROR(+'8'!BN36/'8'!BN28,0)</f>
        <v>7.6041412360708924E-2</v>
      </c>
      <c r="BO23" s="92">
        <f>IFERROR(+'8'!BO36/'8'!BO28,0)</f>
        <v>7.2401183074202138E-2</v>
      </c>
      <c r="BP23" s="92">
        <f>IFERROR(+'8'!BP36/'8'!BP28,0)</f>
        <v>3.0484624846248462E-2</v>
      </c>
      <c r="BQ23" s="92">
        <f>IFERROR(+'8'!BQ36/'8'!BQ28,0)</f>
        <v>3.7483785698295927E-2</v>
      </c>
      <c r="BR23" s="92">
        <f>IFERROR(+'8'!BR36/'8'!BR28,0)</f>
        <v>-4.5667755335312941E-2</v>
      </c>
      <c r="BS23" s="92">
        <f>IFERROR(+'8'!BS36/'8'!BS28,0)</f>
        <v>-0.15941030231843714</v>
      </c>
      <c r="BT23" s="92">
        <f>IFERROR(+'8'!BT36/'8'!BT28,0)</f>
        <v>0.34172045482911989</v>
      </c>
      <c r="BU23" s="92">
        <f>IFERROR(+'8'!BU36/'8'!BU28,0)</f>
        <v>-0.41392845668550649</v>
      </c>
      <c r="BV23" s="92">
        <f>IFERROR(+'8'!BV36/'8'!BV28,0)</f>
        <v>8.1388859675047207E-2</v>
      </c>
      <c r="BW23" s="92">
        <f>IFERROR(+'8'!BW36/'8'!BW28,0)</f>
        <v>1.4167726820925472E-2</v>
      </c>
      <c r="BX23" s="92">
        <f>IFERROR(+'8'!BX36/'8'!BX28,0)</f>
        <v>-0.86277793567735028</v>
      </c>
      <c r="BY23" s="92">
        <f>IFERROR(+'8'!BY36/'8'!BY28,0)</f>
        <v>-1.6037114164753518E-2</v>
      </c>
      <c r="BZ23" s="92">
        <f>IFERROR(+'8'!BZ36/'8'!BZ28,0)</f>
        <v>0</v>
      </c>
      <c r="CA23" s="92">
        <f>IFERROR(+'8'!CA36/'8'!CA28,0)</f>
        <v>6.8704346348921294E-2</v>
      </c>
      <c r="CB23" s="92">
        <f>IFERROR(+'8'!CB36/'8'!CB28,0)</f>
        <v>-0.11893608792707426</v>
      </c>
      <c r="CC23" s="92">
        <f>IFERROR(+'8'!CC36/'8'!CC28,0)</f>
        <v>-0.27816909781233007</v>
      </c>
    </row>
    <row r="24" spans="1:81" s="31" customFormat="1" ht="21.75" customHeight="1" x14ac:dyDescent="0.2">
      <c r="A24" s="107" t="s">
        <v>89</v>
      </c>
      <c r="B24" s="223"/>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3"/>
      <c r="AM24" s="223"/>
      <c r="AN24" s="223"/>
      <c r="AO24" s="223"/>
      <c r="AP24" s="223"/>
      <c r="AQ24" s="223"/>
      <c r="AR24" s="223"/>
      <c r="AS24" s="223"/>
      <c r="AT24" s="223"/>
      <c r="AU24" s="223"/>
      <c r="AV24" s="223"/>
      <c r="AW24" s="223"/>
      <c r="AX24" s="223"/>
      <c r="AY24" s="223"/>
      <c r="AZ24" s="223"/>
      <c r="BA24" s="223"/>
      <c r="BB24" s="223"/>
      <c r="BC24" s="223"/>
      <c r="BD24" s="223"/>
      <c r="BE24" s="223"/>
      <c r="BF24" s="223"/>
      <c r="BG24" s="223"/>
      <c r="BH24" s="223"/>
      <c r="BI24" s="223"/>
      <c r="BJ24" s="223"/>
      <c r="BK24" s="223"/>
      <c r="BL24" s="223"/>
      <c r="BM24" s="223"/>
      <c r="BN24" s="223"/>
      <c r="BO24" s="223"/>
      <c r="BP24" s="223"/>
      <c r="BQ24" s="223"/>
      <c r="BR24" s="223"/>
      <c r="BS24" s="223"/>
      <c r="BT24" s="223"/>
      <c r="BU24" s="223"/>
      <c r="BV24" s="223"/>
      <c r="BW24" s="223"/>
      <c r="BX24" s="223"/>
      <c r="BY24" s="223"/>
      <c r="BZ24" s="223"/>
      <c r="CA24" s="223"/>
      <c r="CB24" s="223"/>
      <c r="CC24" s="223"/>
    </row>
    <row r="25" spans="1:81" s="33" customFormat="1" ht="21.75" customHeight="1" x14ac:dyDescent="0.2">
      <c r="A25" s="111" t="s">
        <v>90</v>
      </c>
      <c r="B25" s="96">
        <f>'8'!B8-'8'!B12</f>
        <v>78736912880.679993</v>
      </c>
      <c r="C25" s="96">
        <f>'8'!C8-'8'!C12</f>
        <v>112541805112.92999</v>
      </c>
      <c r="D25" s="96">
        <f>'8'!D8-'8'!D12</f>
        <v>76213</v>
      </c>
      <c r="E25" s="101">
        <f>'8'!E8-'8'!E12</f>
        <v>-640069</v>
      </c>
      <c r="F25" s="96">
        <f>'8'!F8-'8'!F12</f>
        <v>365865</v>
      </c>
      <c r="G25" s="101">
        <f>'8'!G8-'8'!G12</f>
        <v>80658</v>
      </c>
      <c r="H25" s="101">
        <f>'8'!H8-'8'!H12</f>
        <v>-352102568</v>
      </c>
      <c r="I25" s="101">
        <f>'8'!I8-'8'!I12</f>
        <v>-275415406</v>
      </c>
      <c r="J25" s="101">
        <f>'8'!J8-'8'!J12</f>
        <v>994316336</v>
      </c>
      <c r="K25" s="101">
        <f>'8'!K8-'8'!K12</f>
        <v>1012305368</v>
      </c>
      <c r="L25" s="101">
        <f>'8'!L8-'8'!L12</f>
        <v>-11627316</v>
      </c>
      <c r="M25" s="101">
        <f>'8'!M8-'8'!M12</f>
        <v>-11627316</v>
      </c>
      <c r="N25" s="101">
        <f>'8'!N8-'8'!N12</f>
        <v>-12728000</v>
      </c>
      <c r="O25" s="101">
        <f>'8'!O8-'8'!O12</f>
        <v>16920000</v>
      </c>
      <c r="P25" s="101">
        <f>'8'!P8-'8'!P12</f>
        <v>0</v>
      </c>
      <c r="Q25" s="101">
        <f>'8'!Q8-'8'!Q12</f>
        <v>0</v>
      </c>
      <c r="R25" s="101">
        <f>'8'!R8-'8'!R12</f>
        <v>588142100</v>
      </c>
      <c r="S25" s="101">
        <f>'8'!S8-'8'!S12</f>
        <v>624366603</v>
      </c>
      <c r="T25" s="101">
        <f>'8'!T8-'8'!T12</f>
        <v>500674500</v>
      </c>
      <c r="U25" s="101">
        <f>'8'!U8-'8'!U12</f>
        <v>510748513</v>
      </c>
      <c r="V25" s="101">
        <f>'8'!V8-'8'!V12</f>
        <v>0</v>
      </c>
      <c r="W25" s="101">
        <f>'8'!W8-'8'!W12</f>
        <v>0</v>
      </c>
      <c r="X25" s="101">
        <f>'8'!X8-'8'!X12</f>
        <v>741916000</v>
      </c>
      <c r="Y25" s="101">
        <f>'8'!Y8-'8'!Y12</f>
        <v>653633923</v>
      </c>
      <c r="Z25" s="101">
        <f>'8'!Z8-'8'!Z12</f>
        <v>742897900</v>
      </c>
      <c r="AA25" s="101">
        <f>'8'!AA8-'8'!AA12</f>
        <v>1680817927</v>
      </c>
      <c r="AB25" s="101">
        <f>'8'!AB8-'8'!AB12</f>
        <v>-181581333</v>
      </c>
      <c r="AC25" s="101">
        <f>'8'!AC8-'8'!AC12</f>
        <v>-129891000</v>
      </c>
      <c r="AD25" s="101">
        <f>'8'!AD8-'8'!AD12</f>
        <v>202859521.21999979</v>
      </c>
      <c r="AE25" s="101">
        <f>'8'!AE8-'8'!AE12</f>
        <v>81699362.160000086</v>
      </c>
      <c r="AF25" s="101">
        <f>'8'!AF8-'8'!AF12</f>
        <v>467744731</v>
      </c>
      <c r="AG25" s="101">
        <f>'8'!AG8-'8'!AG12</f>
        <v>572687652</v>
      </c>
      <c r="AH25" s="101">
        <f>'8'!AH8-'8'!AH12</f>
        <v>1301609716</v>
      </c>
      <c r="AI25" s="101">
        <f>'8'!AI8-'8'!AI12</f>
        <v>1359497026</v>
      </c>
      <c r="AJ25" s="101">
        <f>'8'!AJ8-'8'!AJ12</f>
        <v>988641192</v>
      </c>
      <c r="AK25" s="101">
        <f>'8'!AK8-'8'!AK12</f>
        <v>610439660</v>
      </c>
      <c r="AL25" s="101">
        <f>'8'!AL8-'8'!AL12</f>
        <v>12612680</v>
      </c>
      <c r="AM25" s="101">
        <f>'8'!AM8-'8'!AM12</f>
        <v>11725627</v>
      </c>
      <c r="AN25" s="101">
        <f>'8'!AN8-'8'!AN12</f>
        <v>1426726388</v>
      </c>
      <c r="AO25" s="101">
        <f>'8'!AO8-'8'!AO12</f>
        <v>3825884008</v>
      </c>
      <c r="AP25" s="101">
        <f>'8'!AP8-'8'!AP12</f>
        <v>89481548</v>
      </c>
      <c r="AQ25" s="101">
        <f>'8'!AQ8-'8'!AQ12</f>
        <v>428228809</v>
      </c>
      <c r="AR25" s="101">
        <f>'8'!AR8-'8'!AR12</f>
        <v>2041837</v>
      </c>
      <c r="AS25" s="101">
        <f>'8'!AS8-'8'!AS12</f>
        <v>269877</v>
      </c>
      <c r="AT25" s="101">
        <f>'8'!AT8-'8'!AT12</f>
        <v>30811169450</v>
      </c>
      <c r="AU25" s="101">
        <f>'8'!AU8-'8'!AU12</f>
        <v>46555571448</v>
      </c>
      <c r="AV25" s="101">
        <f>'8'!AV8-'8'!AV12</f>
        <v>0</v>
      </c>
      <c r="AW25" s="101">
        <f>'8'!AW8-'8'!AW12</f>
        <v>0</v>
      </c>
      <c r="AX25" s="101">
        <f>'8'!AX8-'8'!AX12</f>
        <v>0</v>
      </c>
      <c r="AY25" s="101">
        <f>'8'!AY8-'8'!AY12</f>
        <v>0</v>
      </c>
      <c r="AZ25" s="101">
        <f>'8'!AZ8-'8'!AZ12</f>
        <v>534000</v>
      </c>
      <c r="BA25" s="101">
        <f>'8'!BA8-'8'!BA12</f>
        <v>25019000</v>
      </c>
      <c r="BB25" s="101">
        <f>'8'!BB8-'8'!BB12</f>
        <v>1025231113.46</v>
      </c>
      <c r="BC25" s="101">
        <f>'8'!BC8-'8'!BC12</f>
        <v>1184252353.77</v>
      </c>
      <c r="BD25" s="101">
        <f>'8'!BD8-'8'!BD12</f>
        <v>0</v>
      </c>
      <c r="BE25" s="101">
        <f>'8'!BE8-'8'!BE12</f>
        <v>0</v>
      </c>
      <c r="BF25" s="101">
        <f>'8'!BF8-'8'!BF12</f>
        <v>3425520734</v>
      </c>
      <c r="BG25" s="101">
        <f>'8'!BG8-'8'!BG12</f>
        <v>3234046728</v>
      </c>
      <c r="BH25" s="101">
        <f>'8'!BH8-'8'!BH12</f>
        <v>483259204</v>
      </c>
      <c r="BI25" s="101">
        <f>'8'!BI8-'8'!BI12</f>
        <v>616739415</v>
      </c>
      <c r="BJ25" s="101">
        <f>'8'!BJ8-'8'!BJ12</f>
        <v>303971094</v>
      </c>
      <c r="BK25" s="101">
        <f>'8'!BK8-'8'!BK12</f>
        <v>363102139</v>
      </c>
      <c r="BL25" s="101">
        <f>'8'!BL8-'8'!BL12</f>
        <v>1169191514</v>
      </c>
      <c r="BM25" s="101">
        <f>'8'!BM8-'8'!BM12</f>
        <v>1435243259</v>
      </c>
      <c r="BN25" s="101">
        <f>'8'!BN8-'8'!BN12</f>
        <v>9997262180</v>
      </c>
      <c r="BO25" s="101">
        <f>'8'!BO8-'8'!BO12</f>
        <v>13484376215</v>
      </c>
      <c r="BP25" s="101">
        <f>'8'!BP8-'8'!BP12</f>
        <v>25363</v>
      </c>
      <c r="BQ25" s="101">
        <f>'8'!BQ8-'8'!BQ12</f>
        <v>-91518</v>
      </c>
      <c r="BR25" s="101">
        <f>'8'!BR8-'8'!BR12</f>
        <v>8444222</v>
      </c>
      <c r="BS25" s="101">
        <f>'8'!BS8-'8'!BS12</f>
        <v>-3571953</v>
      </c>
      <c r="BT25" s="101">
        <f>'8'!BT8-'8'!BT12</f>
        <v>139394795</v>
      </c>
      <c r="BU25" s="101">
        <f>'8'!BU8-'8'!BU12</f>
        <v>565151991</v>
      </c>
      <c r="BV25" s="101">
        <f>'8'!BV8-'8'!BV12</f>
        <v>580529602</v>
      </c>
      <c r="BW25" s="101">
        <f>'8'!BW8-'8'!BW12</f>
        <v>584992556</v>
      </c>
      <c r="BX25" s="101">
        <f>'8'!BX8-'8'!BX12</f>
        <v>55431000</v>
      </c>
      <c r="BY25" s="101">
        <f>'8'!BY8-'8'!BY12</f>
        <v>947609274</v>
      </c>
      <c r="BZ25" s="101">
        <f>'8'!BZ8-'8'!BZ12</f>
        <v>280432000</v>
      </c>
      <c r="CA25" s="101">
        <f>'8'!CA8-'8'!CA12</f>
        <v>308742482</v>
      </c>
      <c r="CB25" s="101">
        <f>'8'!CB8-'8'!CB12</f>
        <v>22954449299</v>
      </c>
      <c r="CC25" s="101">
        <f>'8'!CC8-'8'!CC12</f>
        <v>32268890501</v>
      </c>
    </row>
    <row r="26" spans="1:81" ht="13.5" customHeight="1" x14ac:dyDescent="0.2">
      <c r="A26" s="8" t="s">
        <v>179</v>
      </c>
    </row>
    <row r="28" spans="1:81" ht="13.5" customHeight="1" x14ac:dyDescent="0.2">
      <c r="A28" s="106"/>
    </row>
    <row r="29" spans="1:81" x14ac:dyDescent="0.2">
      <c r="A29" s="30"/>
    </row>
  </sheetData>
  <mergeCells count="42">
    <mergeCell ref="P4:Q4"/>
    <mergeCell ref="AB4:AC4"/>
    <mergeCell ref="J4:K4"/>
    <mergeCell ref="L4:M4"/>
    <mergeCell ref="N4:O4"/>
    <mergeCell ref="V4:W4"/>
    <mergeCell ref="X4:Y4"/>
    <mergeCell ref="Z4:AA4"/>
    <mergeCell ref="A4:A5"/>
    <mergeCell ref="B4:C4"/>
    <mergeCell ref="D4:E4"/>
    <mergeCell ref="F4:G4"/>
    <mergeCell ref="H4:I4"/>
    <mergeCell ref="AD4:AE4"/>
    <mergeCell ref="AF4:AG4"/>
    <mergeCell ref="BF4:BG4"/>
    <mergeCell ref="BD4:BE4"/>
    <mergeCell ref="AX4:AY4"/>
    <mergeCell ref="AP4:AQ4"/>
    <mergeCell ref="BB4:BC4"/>
    <mergeCell ref="AV4:AW4"/>
    <mergeCell ref="AT4:AU4"/>
    <mergeCell ref="AR4:AS4"/>
    <mergeCell ref="AJ4:AK4"/>
    <mergeCell ref="AN4:AO4"/>
    <mergeCell ref="AL4:AM4"/>
    <mergeCell ref="BX4:BY4"/>
    <mergeCell ref="BN4:BO4"/>
    <mergeCell ref="BJ4:BK4"/>
    <mergeCell ref="A2:CC2"/>
    <mergeCell ref="BR4:BS4"/>
    <mergeCell ref="AZ4:BA4"/>
    <mergeCell ref="BH4:BI4"/>
    <mergeCell ref="CB4:CC4"/>
    <mergeCell ref="R4:S4"/>
    <mergeCell ref="BL4:BM4"/>
    <mergeCell ref="AH4:AI4"/>
    <mergeCell ref="BP4:BQ4"/>
    <mergeCell ref="T4:U4"/>
    <mergeCell ref="BZ4:CA4"/>
    <mergeCell ref="BT4:BU4"/>
    <mergeCell ref="BV4:BW4"/>
  </mergeCells>
  <phoneticPr fontId="0" type="noConversion"/>
  <pageMargins left="1.1100000000000001" right="0.41" top="1.3779527559055118" bottom="0.59055118110236227" header="0" footer="0"/>
  <pageSetup paperSize="45" scale="85" orientation="landscape" horizont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44"/>
  <sheetViews>
    <sheetView zoomScaleNormal="100" zoomScaleSheetLayoutView="120" workbookViewId="0">
      <selection activeCell="A2" sqref="A2:E2"/>
    </sheetView>
  </sheetViews>
  <sheetFormatPr baseColWidth="10" defaultColWidth="11.42578125" defaultRowHeight="12" x14ac:dyDescent="0.2"/>
  <cols>
    <col min="1" max="1" width="35.7109375" style="2" customWidth="1"/>
    <col min="2" max="2" width="13.140625" style="71" customWidth="1"/>
    <col min="3" max="3" width="14" style="71" customWidth="1"/>
    <col min="4" max="4" width="17.85546875" style="71" customWidth="1"/>
    <col min="5" max="5" width="16.5703125" style="71" customWidth="1"/>
    <col min="6" max="6" width="4.140625" style="17" customWidth="1"/>
    <col min="7" max="7" width="21.140625" style="17" customWidth="1"/>
    <col min="8" max="63" width="11.42578125" style="17"/>
    <col min="64" max="16384" width="11.42578125" style="2"/>
  </cols>
  <sheetData>
    <row r="1" spans="1:49" s="17" customFormat="1" x14ac:dyDescent="0.2">
      <c r="A1" s="17" t="s">
        <v>22</v>
      </c>
      <c r="AV1" s="168"/>
      <c r="AW1" s="168"/>
    </row>
    <row r="2" spans="1:49" ht="29.25" customHeight="1" x14ac:dyDescent="0.2">
      <c r="A2" s="229" t="s">
        <v>5</v>
      </c>
      <c r="B2" s="230"/>
      <c r="C2" s="230"/>
      <c r="D2" s="230"/>
      <c r="E2" s="230"/>
      <c r="AV2" s="168"/>
      <c r="AW2" s="168"/>
    </row>
    <row r="3" spans="1:49" s="17" customFormat="1" x14ac:dyDescent="0.2">
      <c r="A3" s="231"/>
      <c r="B3" s="231"/>
      <c r="C3" s="231"/>
      <c r="D3" s="231"/>
      <c r="E3" s="231"/>
      <c r="AV3" s="168"/>
      <c r="AW3" s="168"/>
    </row>
    <row r="4" spans="1:49" ht="22.5" customHeight="1" x14ac:dyDescent="0.2">
      <c r="A4" s="227" t="s">
        <v>23</v>
      </c>
      <c r="B4" s="228" t="s">
        <v>24</v>
      </c>
      <c r="C4" s="228"/>
      <c r="D4" s="228" t="s">
        <v>25</v>
      </c>
      <c r="E4" s="228"/>
      <c r="AV4" s="168"/>
      <c r="AW4" s="168"/>
    </row>
    <row r="5" spans="1:49" ht="28.5" customHeight="1" x14ac:dyDescent="0.2">
      <c r="A5" s="227"/>
      <c r="B5" s="1" t="s">
        <v>26</v>
      </c>
      <c r="C5" s="1" t="s">
        <v>27</v>
      </c>
      <c r="D5" s="1" t="s">
        <v>28</v>
      </c>
      <c r="E5" s="1" t="s">
        <v>29</v>
      </c>
    </row>
    <row r="6" spans="1:49" ht="27" customHeight="1" x14ac:dyDescent="0.2">
      <c r="A6" s="67" t="s">
        <v>30</v>
      </c>
      <c r="B6" s="68">
        <v>9</v>
      </c>
      <c r="C6" s="69">
        <f>+B6/$B$9</f>
        <v>0.16666666666666666</v>
      </c>
      <c r="D6" s="68">
        <v>8</v>
      </c>
      <c r="E6" s="69">
        <f>+D6/B6</f>
        <v>0.88888888888888884</v>
      </c>
    </row>
    <row r="7" spans="1:49" ht="21.75" customHeight="1" x14ac:dyDescent="0.2">
      <c r="A7" s="68" t="s">
        <v>31</v>
      </c>
      <c r="B7" s="68">
        <v>6</v>
      </c>
      <c r="C7" s="69">
        <f>+B7/$B$9</f>
        <v>0.1111111111111111</v>
      </c>
      <c r="D7" s="68">
        <v>6</v>
      </c>
      <c r="E7" s="69">
        <f>+D7/B7</f>
        <v>1</v>
      </c>
    </row>
    <row r="8" spans="1:49" ht="28.5" customHeight="1" x14ac:dyDescent="0.2">
      <c r="A8" s="68" t="s">
        <v>32</v>
      </c>
      <c r="B8" s="68">
        <v>39</v>
      </c>
      <c r="C8" s="69">
        <f>+B8/$B$9</f>
        <v>0.72222222222222221</v>
      </c>
      <c r="D8" s="68">
        <f>+B8-5</f>
        <v>34</v>
      </c>
      <c r="E8" s="69">
        <f>+D8/B8</f>
        <v>0.87179487179487181</v>
      </c>
    </row>
    <row r="9" spans="1:49" ht="29.25" customHeight="1" x14ac:dyDescent="0.2">
      <c r="A9" s="1" t="s">
        <v>33</v>
      </c>
      <c r="B9" s="1">
        <f>SUM(B6:B8)</f>
        <v>54</v>
      </c>
      <c r="C9" s="70">
        <f>SUM(C6:C8)</f>
        <v>1</v>
      </c>
      <c r="D9" s="1">
        <f>SUM(D6:D8)</f>
        <v>48</v>
      </c>
      <c r="E9" s="70">
        <f>+D9/B9</f>
        <v>0.88888888888888884</v>
      </c>
    </row>
    <row r="10" spans="1:49" s="82" customFormat="1" x14ac:dyDescent="0.2">
      <c r="B10" s="169"/>
      <c r="C10" s="169"/>
      <c r="D10" s="169"/>
      <c r="E10" s="169"/>
    </row>
    <row r="11" spans="1:49" s="82" customFormat="1" ht="15" customHeight="1" x14ac:dyDescent="0.2">
      <c r="B11" s="169"/>
      <c r="C11" s="169"/>
      <c r="D11" s="169"/>
      <c r="E11" s="169"/>
    </row>
    <row r="12" spans="1:49" s="17" customFormat="1" ht="14.45" customHeight="1" x14ac:dyDescent="0.2">
      <c r="B12" s="90"/>
      <c r="C12" s="90"/>
      <c r="D12" s="90"/>
      <c r="E12" s="90"/>
    </row>
    <row r="13" spans="1:49" s="17" customFormat="1" x14ac:dyDescent="0.2">
      <c r="B13" s="90"/>
      <c r="C13" s="90"/>
      <c r="D13" s="90"/>
      <c r="E13" s="90"/>
    </row>
    <row r="14" spans="1:49" s="17" customFormat="1" x14ac:dyDescent="0.2">
      <c r="B14" s="90"/>
      <c r="C14" s="90"/>
      <c r="D14" s="90"/>
      <c r="E14" s="90"/>
    </row>
    <row r="15" spans="1:49" s="17" customFormat="1" x14ac:dyDescent="0.2">
      <c r="B15" s="90"/>
      <c r="C15" s="90"/>
      <c r="D15" s="90"/>
      <c r="E15" s="90"/>
    </row>
    <row r="16" spans="1:49" s="17" customFormat="1" x14ac:dyDescent="0.2">
      <c r="B16" s="90"/>
      <c r="C16" s="90"/>
      <c r="D16" s="90"/>
      <c r="E16" s="90"/>
    </row>
    <row r="17" spans="2:5" s="17" customFormat="1" x14ac:dyDescent="0.2">
      <c r="B17" s="90"/>
      <c r="C17" s="90"/>
      <c r="D17" s="90"/>
      <c r="E17" s="90"/>
    </row>
    <row r="18" spans="2:5" s="17" customFormat="1" x14ac:dyDescent="0.2">
      <c r="B18" s="90"/>
      <c r="C18" s="90"/>
      <c r="D18" s="90"/>
      <c r="E18" s="90"/>
    </row>
    <row r="19" spans="2:5" s="17" customFormat="1" x14ac:dyDescent="0.2">
      <c r="B19" s="90"/>
      <c r="C19" s="90"/>
      <c r="D19" s="90"/>
      <c r="E19" s="90"/>
    </row>
    <row r="20" spans="2:5" s="17" customFormat="1" x14ac:dyDescent="0.2">
      <c r="B20" s="90"/>
      <c r="C20" s="90"/>
      <c r="D20" s="90"/>
      <c r="E20" s="90"/>
    </row>
    <row r="21" spans="2:5" s="17" customFormat="1" x14ac:dyDescent="0.2">
      <c r="B21" s="90"/>
      <c r="C21" s="90"/>
      <c r="D21" s="90"/>
      <c r="E21" s="90"/>
    </row>
    <row r="22" spans="2:5" s="17" customFormat="1" x14ac:dyDescent="0.2">
      <c r="B22" s="90"/>
      <c r="C22" s="90"/>
      <c r="D22" s="90"/>
      <c r="E22" s="90"/>
    </row>
    <row r="23" spans="2:5" s="17" customFormat="1" x14ac:dyDescent="0.2">
      <c r="B23" s="90"/>
      <c r="C23" s="90"/>
      <c r="D23" s="90"/>
      <c r="E23" s="90"/>
    </row>
    <row r="24" spans="2:5" s="17" customFormat="1" x14ac:dyDescent="0.2">
      <c r="B24" s="90"/>
      <c r="C24" s="90"/>
      <c r="D24" s="90"/>
      <c r="E24" s="90"/>
    </row>
    <row r="25" spans="2:5" s="17" customFormat="1" x14ac:dyDescent="0.2">
      <c r="B25" s="90"/>
      <c r="C25" s="90"/>
      <c r="D25" s="90"/>
      <c r="E25" s="90"/>
    </row>
    <row r="26" spans="2:5" s="17" customFormat="1" x14ac:dyDescent="0.2">
      <c r="B26" s="90"/>
      <c r="C26" s="90"/>
      <c r="D26" s="90"/>
      <c r="E26" s="90"/>
    </row>
    <row r="27" spans="2:5" s="17" customFormat="1" x14ac:dyDescent="0.2">
      <c r="B27" s="90"/>
      <c r="C27" s="90"/>
      <c r="D27" s="90"/>
      <c r="E27" s="90"/>
    </row>
    <row r="28" spans="2:5" s="17" customFormat="1" x14ac:dyDescent="0.2">
      <c r="B28" s="90"/>
      <c r="C28" s="90"/>
      <c r="D28" s="90"/>
      <c r="E28" s="90"/>
    </row>
    <row r="29" spans="2:5" s="17" customFormat="1" x14ac:dyDescent="0.2">
      <c r="B29" s="90"/>
      <c r="C29" s="90"/>
      <c r="D29" s="90"/>
      <c r="E29" s="90"/>
    </row>
    <row r="30" spans="2:5" s="17" customFormat="1" x14ac:dyDescent="0.2">
      <c r="B30" s="90"/>
      <c r="C30" s="90"/>
      <c r="D30" s="90"/>
      <c r="E30" s="90"/>
    </row>
    <row r="31" spans="2:5" s="17" customFormat="1" x14ac:dyDescent="0.2">
      <c r="B31" s="90"/>
      <c r="C31" s="90"/>
      <c r="D31" s="90"/>
      <c r="E31" s="90"/>
    </row>
    <row r="32" spans="2:5" s="17" customFormat="1" x14ac:dyDescent="0.2">
      <c r="B32" s="90"/>
      <c r="C32" s="90"/>
      <c r="D32" s="90"/>
      <c r="E32" s="90"/>
    </row>
    <row r="33" spans="2:5" s="17" customFormat="1" x14ac:dyDescent="0.2">
      <c r="B33" s="90"/>
      <c r="C33" s="90"/>
      <c r="D33" s="90"/>
      <c r="E33" s="90"/>
    </row>
    <row r="34" spans="2:5" s="17" customFormat="1" x14ac:dyDescent="0.2">
      <c r="B34" s="90"/>
      <c r="C34" s="90"/>
      <c r="D34" s="90"/>
      <c r="E34" s="90"/>
    </row>
    <row r="35" spans="2:5" s="17" customFormat="1" x14ac:dyDescent="0.2">
      <c r="B35" s="90"/>
      <c r="C35" s="90"/>
      <c r="D35" s="90"/>
      <c r="E35" s="90"/>
    </row>
    <row r="36" spans="2:5" s="17" customFormat="1" x14ac:dyDescent="0.2">
      <c r="B36" s="90"/>
      <c r="C36" s="90"/>
      <c r="D36" s="90"/>
      <c r="E36" s="90"/>
    </row>
    <row r="37" spans="2:5" s="17" customFormat="1" x14ac:dyDescent="0.2">
      <c r="B37" s="90"/>
      <c r="C37" s="90"/>
      <c r="D37" s="90"/>
      <c r="E37" s="90"/>
    </row>
    <row r="38" spans="2:5" s="17" customFormat="1" x14ac:dyDescent="0.2">
      <c r="B38" s="90"/>
      <c r="C38" s="90"/>
      <c r="D38" s="90"/>
      <c r="E38" s="90"/>
    </row>
    <row r="39" spans="2:5" s="17" customFormat="1" x14ac:dyDescent="0.2">
      <c r="B39" s="90"/>
      <c r="C39" s="90"/>
      <c r="D39" s="90"/>
      <c r="E39" s="90"/>
    </row>
    <row r="40" spans="2:5" s="17" customFormat="1" x14ac:dyDescent="0.2">
      <c r="B40" s="90"/>
      <c r="C40" s="90"/>
      <c r="D40" s="90"/>
      <c r="E40" s="90"/>
    </row>
    <row r="41" spans="2:5" s="17" customFormat="1" x14ac:dyDescent="0.2">
      <c r="B41" s="90"/>
      <c r="C41" s="90"/>
      <c r="D41" s="90"/>
      <c r="E41" s="90"/>
    </row>
    <row r="42" spans="2:5" s="17" customFormat="1" x14ac:dyDescent="0.2">
      <c r="B42" s="90"/>
      <c r="C42" s="90"/>
      <c r="D42" s="90"/>
      <c r="E42" s="90"/>
    </row>
    <row r="43" spans="2:5" s="17" customFormat="1" x14ac:dyDescent="0.2">
      <c r="B43" s="90"/>
      <c r="C43" s="90"/>
      <c r="D43" s="90"/>
      <c r="E43" s="90"/>
    </row>
    <row r="44" spans="2:5" s="17" customFormat="1" x14ac:dyDescent="0.2">
      <c r="B44" s="90"/>
      <c r="C44" s="90"/>
      <c r="D44" s="90"/>
      <c r="E44" s="90"/>
    </row>
  </sheetData>
  <mergeCells count="5">
    <mergeCell ref="A4:A5"/>
    <mergeCell ref="B4:C4"/>
    <mergeCell ref="D4:E4"/>
    <mergeCell ref="A2:E2"/>
    <mergeCell ref="A3:E3"/>
  </mergeCells>
  <phoneticPr fontId="0" type="noConversion"/>
  <pageMargins left="1.5748031496062993" right="0.78740157480314965" top="1.5748031496062993" bottom="0.78740157480314965" header="0"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O336"/>
  <sheetViews>
    <sheetView zoomScaleNormal="100" zoomScaleSheetLayoutView="110" workbookViewId="0"/>
  </sheetViews>
  <sheetFormatPr baseColWidth="10" defaultColWidth="11.42578125" defaultRowHeight="12" x14ac:dyDescent="0.2"/>
  <cols>
    <col min="1" max="1" width="52.7109375" style="2" customWidth="1"/>
    <col min="2" max="7" width="22.28515625" style="2" customWidth="1"/>
    <col min="8" max="171" width="11.42578125" style="17"/>
    <col min="172" max="16384" width="11.42578125" style="2"/>
  </cols>
  <sheetData>
    <row r="1" spans="1:171" s="17" customFormat="1" ht="21" customHeight="1" x14ac:dyDescent="0.2">
      <c r="A1" s="17" t="s">
        <v>34</v>
      </c>
      <c r="BD1" s="168"/>
      <c r="BE1" s="168"/>
    </row>
    <row r="2" spans="1:171" ht="18.75" customHeight="1" x14ac:dyDescent="0.2">
      <c r="A2" s="228" t="s">
        <v>7</v>
      </c>
      <c r="B2" s="228"/>
      <c r="C2" s="228"/>
      <c r="D2" s="228"/>
      <c r="E2" s="228"/>
      <c r="F2" s="228"/>
      <c r="G2" s="228"/>
      <c r="BD2" s="168"/>
      <c r="BE2" s="168"/>
    </row>
    <row r="3" spans="1:171" s="17" customFormat="1" ht="25.5" customHeight="1" x14ac:dyDescent="0.2">
      <c r="A3" s="17" t="s">
        <v>35</v>
      </c>
      <c r="B3" s="5"/>
      <c r="C3" s="5"/>
      <c r="BD3" s="168"/>
      <c r="BE3" s="168"/>
    </row>
    <row r="4" spans="1:171" s="4" customFormat="1" ht="31.5" customHeight="1" x14ac:dyDescent="0.2">
      <c r="A4" s="198" t="s">
        <v>36</v>
      </c>
      <c r="B4" s="227" t="s">
        <v>30</v>
      </c>
      <c r="C4" s="227"/>
      <c r="D4" s="227" t="s">
        <v>37</v>
      </c>
      <c r="E4" s="227"/>
      <c r="F4" s="236" t="s">
        <v>38</v>
      </c>
      <c r="G4" s="236"/>
      <c r="H4" s="232"/>
      <c r="I4" s="232"/>
      <c r="J4" s="234"/>
      <c r="K4" s="234"/>
      <c r="L4" s="235"/>
      <c r="M4" s="235"/>
      <c r="N4" s="232"/>
      <c r="O4" s="232"/>
      <c r="P4" s="232"/>
      <c r="Q4" s="232"/>
      <c r="R4" s="233"/>
      <c r="S4" s="233"/>
      <c r="T4" s="232"/>
      <c r="U4" s="232"/>
      <c r="V4" s="233"/>
      <c r="W4" s="233"/>
      <c r="X4" s="232"/>
      <c r="Y4" s="232"/>
      <c r="Z4" s="232"/>
      <c r="AA4" s="232"/>
      <c r="AB4" s="232"/>
      <c r="AC4" s="232"/>
      <c r="AD4" s="232"/>
      <c r="AE4" s="232"/>
      <c r="AF4" s="232"/>
      <c r="AG4" s="232"/>
      <c r="AH4" s="232"/>
      <c r="AI4" s="232"/>
      <c r="AJ4" s="232"/>
      <c r="AK4" s="232"/>
      <c r="AL4" s="233"/>
      <c r="AM4" s="233"/>
      <c r="AN4" s="232"/>
      <c r="AO4" s="232"/>
      <c r="AP4" s="233"/>
      <c r="AQ4" s="233"/>
      <c r="AR4" s="232"/>
      <c r="AS4" s="232"/>
      <c r="AT4" s="232"/>
      <c r="AU4" s="232"/>
      <c r="AV4" s="232"/>
      <c r="AW4" s="232"/>
      <c r="AX4" s="231"/>
      <c r="AY4" s="231"/>
      <c r="AZ4" s="231"/>
      <c r="BA4" s="231"/>
      <c r="BB4" s="233"/>
      <c r="BC4" s="233"/>
      <c r="BD4" s="232"/>
      <c r="BE4" s="232"/>
      <c r="BF4" s="231"/>
      <c r="BG4" s="231"/>
      <c r="BH4" s="231"/>
      <c r="BI4" s="231"/>
      <c r="BJ4" s="231"/>
      <c r="BK4" s="231"/>
      <c r="BL4" s="231"/>
      <c r="BM4" s="231"/>
      <c r="BN4" s="231"/>
      <c r="BO4" s="231"/>
      <c r="BP4" s="231"/>
      <c r="BQ4" s="231"/>
      <c r="BR4" s="231"/>
      <c r="BS4" s="231"/>
      <c r="BT4" s="231"/>
      <c r="BU4" s="231"/>
      <c r="BV4" s="231"/>
      <c r="BW4" s="231"/>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row>
    <row r="5" spans="1:171" s="4" customFormat="1" x14ac:dyDescent="0.2">
      <c r="A5" s="198"/>
      <c r="B5" s="1">
        <v>2021</v>
      </c>
      <c r="C5" s="1">
        <v>2022</v>
      </c>
      <c r="D5" s="1">
        <v>2021</v>
      </c>
      <c r="E5" s="1">
        <v>2022</v>
      </c>
      <c r="F5" s="1">
        <v>2021</v>
      </c>
      <c r="G5" s="1">
        <v>2022</v>
      </c>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row>
    <row r="6" spans="1:171" s="4" customFormat="1" ht="15" customHeight="1" x14ac:dyDescent="0.2">
      <c r="A6" s="11" t="s">
        <v>39</v>
      </c>
      <c r="B6" s="25"/>
      <c r="C6" s="25"/>
      <c r="D6" s="25"/>
      <c r="E6" s="25"/>
      <c r="F6" s="25"/>
      <c r="G6" s="25"/>
      <c r="H6" s="25"/>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row>
    <row r="7" spans="1:171" s="4" customFormat="1" ht="15" customHeight="1" x14ac:dyDescent="0.2">
      <c r="A7" s="12" t="s">
        <v>40</v>
      </c>
      <c r="B7" s="26"/>
      <c r="C7" s="26"/>
      <c r="D7" s="25"/>
      <c r="E7" s="25"/>
      <c r="F7" s="25"/>
      <c r="G7" s="25"/>
      <c r="H7" s="25"/>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71"/>
      <c r="BG7" s="171"/>
      <c r="BH7" s="171"/>
      <c r="BI7" s="171"/>
      <c r="BJ7" s="171"/>
      <c r="BK7" s="171"/>
      <c r="BL7" s="171"/>
      <c r="BM7" s="171"/>
      <c r="BN7" s="171"/>
      <c r="BO7" s="171"/>
      <c r="BP7" s="171"/>
      <c r="BQ7" s="171"/>
      <c r="BR7" s="171"/>
      <c r="BS7" s="171"/>
      <c r="BT7" s="171"/>
      <c r="BU7" s="171"/>
      <c r="BV7" s="171"/>
      <c r="BW7" s="171"/>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row>
    <row r="8" spans="1:171" ht="15" customHeight="1" x14ac:dyDescent="0.2">
      <c r="A8" s="10" t="s">
        <v>41</v>
      </c>
      <c r="B8" s="27">
        <f>'4'!B7</f>
        <v>5826531326.8319998</v>
      </c>
      <c r="C8" s="27">
        <f>'4'!C7</f>
        <v>5395306187.0889997</v>
      </c>
      <c r="D8" s="25">
        <f>'6'!B8</f>
        <v>105013716962</v>
      </c>
      <c r="E8" s="25">
        <f>'6'!C8</f>
        <v>96505957309</v>
      </c>
      <c r="F8" s="25">
        <f>+'8'!B8</f>
        <v>280202606648.25</v>
      </c>
      <c r="G8" s="25">
        <f>+'8'!C8</f>
        <v>368442599912.88</v>
      </c>
      <c r="H8" s="2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row>
    <row r="9" spans="1:171" ht="15" customHeight="1" x14ac:dyDescent="0.2">
      <c r="A9" s="10" t="s">
        <v>42</v>
      </c>
      <c r="B9" s="27">
        <f>'4'!B8</f>
        <v>14894332134.986</v>
      </c>
      <c r="C9" s="27">
        <f>'4'!C8</f>
        <v>14123598448.982</v>
      </c>
      <c r="D9" s="25">
        <f>'6'!B9</f>
        <v>104900874077</v>
      </c>
      <c r="E9" s="25">
        <f>'6'!C9</f>
        <v>112739789819</v>
      </c>
      <c r="F9" s="25">
        <f>+'8'!B9</f>
        <v>372402579204.65002</v>
      </c>
      <c r="G9" s="25">
        <f>+'8'!C9</f>
        <v>336184087359.95001</v>
      </c>
      <c r="H9" s="2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row>
    <row r="10" spans="1:171" ht="15" customHeight="1" x14ac:dyDescent="0.2">
      <c r="A10" s="6" t="s">
        <v>43</v>
      </c>
      <c r="B10" s="217">
        <f t="shared" ref="B10:G10" si="0">+B8+B9</f>
        <v>20720863461.818001</v>
      </c>
      <c r="C10" s="217">
        <f t="shared" si="0"/>
        <v>19518904636.070999</v>
      </c>
      <c r="D10" s="217">
        <f t="shared" si="0"/>
        <v>209914591039</v>
      </c>
      <c r="E10" s="217">
        <f t="shared" si="0"/>
        <v>209245747128</v>
      </c>
      <c r="F10" s="217">
        <f t="shared" si="0"/>
        <v>652605185852.90002</v>
      </c>
      <c r="G10" s="217">
        <f t="shared" si="0"/>
        <v>704626687272.83008</v>
      </c>
      <c r="H10" s="2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row>
    <row r="11" spans="1:171" s="4" customFormat="1" ht="15" customHeight="1" x14ac:dyDescent="0.2">
      <c r="A11" s="12" t="s">
        <v>44</v>
      </c>
      <c r="B11" s="27"/>
      <c r="C11" s="27"/>
      <c r="D11" s="25">
        <f>'6'!B11</f>
        <v>0</v>
      </c>
      <c r="E11" s="25">
        <f>'6'!C11</f>
        <v>0</v>
      </c>
      <c r="F11" s="25">
        <f>+'8'!B11</f>
        <v>0</v>
      </c>
      <c r="G11" s="25">
        <f>+'8'!C11</f>
        <v>0</v>
      </c>
      <c r="H11" s="25"/>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2"/>
      <c r="BL11" s="172"/>
      <c r="BM11" s="172"/>
      <c r="BN11" s="172"/>
      <c r="BO11" s="172"/>
      <c r="BP11" s="172"/>
      <c r="BQ11" s="172"/>
      <c r="BR11" s="172"/>
      <c r="BS11" s="172"/>
      <c r="BT11" s="172"/>
      <c r="BU11" s="172"/>
      <c r="BV11" s="172"/>
      <c r="BW11" s="17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row>
    <row r="12" spans="1:171" ht="15" customHeight="1" x14ac:dyDescent="0.2">
      <c r="A12" s="10" t="s">
        <v>45</v>
      </c>
      <c r="B12" s="27">
        <f>'4'!B11</f>
        <v>12604347726.749001</v>
      </c>
      <c r="C12" s="27">
        <f>'4'!C11</f>
        <v>11070693245.853001</v>
      </c>
      <c r="D12" s="25">
        <f>'6'!B12</f>
        <v>91609771670</v>
      </c>
      <c r="E12" s="25">
        <f>'6'!C12</f>
        <v>101982188592</v>
      </c>
      <c r="F12" s="25">
        <f>+'8'!B12</f>
        <v>201465693767.57001</v>
      </c>
      <c r="G12" s="25">
        <f>+'8'!C12</f>
        <v>255900794799.95001</v>
      </c>
      <c r="H12" s="25"/>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172"/>
      <c r="BK12" s="172"/>
      <c r="BL12" s="172"/>
      <c r="BM12" s="172"/>
      <c r="BN12" s="172"/>
      <c r="BO12" s="172"/>
      <c r="BP12" s="172"/>
      <c r="BQ12" s="172"/>
      <c r="BR12" s="172"/>
      <c r="BS12" s="172"/>
      <c r="BT12" s="172"/>
      <c r="BU12" s="172"/>
      <c r="BV12" s="172"/>
      <c r="BW12" s="172"/>
    </row>
    <row r="13" spans="1:171" ht="15" customHeight="1" x14ac:dyDescent="0.2">
      <c r="A13" s="13" t="s">
        <v>46</v>
      </c>
      <c r="B13" s="27">
        <f>'4'!B12</f>
        <v>9988646040</v>
      </c>
      <c r="C13" s="27">
        <f>'4'!C12</f>
        <v>9927613145.625</v>
      </c>
      <c r="D13" s="25">
        <f>'6'!B13</f>
        <v>38937647783</v>
      </c>
      <c r="E13" s="25">
        <f>'6'!C13</f>
        <v>48068194531</v>
      </c>
      <c r="F13" s="25">
        <f>+'8'!B13</f>
        <v>246124981566.29001</v>
      </c>
      <c r="G13" s="25">
        <f>+'8'!C13</f>
        <v>245227629222</v>
      </c>
      <c r="H13" s="2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row>
    <row r="14" spans="1:171" ht="15" customHeight="1" x14ac:dyDescent="0.2">
      <c r="A14" s="6" t="s">
        <v>47</v>
      </c>
      <c r="B14" s="217">
        <f t="shared" ref="B14:G14" si="1">+B12+B13</f>
        <v>22592993766.749001</v>
      </c>
      <c r="C14" s="217">
        <f t="shared" si="1"/>
        <v>20998306391.478001</v>
      </c>
      <c r="D14" s="217">
        <f t="shared" si="1"/>
        <v>130547419453</v>
      </c>
      <c r="E14" s="217">
        <f t="shared" si="1"/>
        <v>150050383123</v>
      </c>
      <c r="F14" s="217">
        <f t="shared" si="1"/>
        <v>447590675333.85999</v>
      </c>
      <c r="G14" s="217">
        <f t="shared" si="1"/>
        <v>501128424021.95001</v>
      </c>
      <c r="H14" s="2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row>
    <row r="15" spans="1:171" ht="15" customHeight="1" x14ac:dyDescent="0.2">
      <c r="A15" s="12" t="s">
        <v>48</v>
      </c>
      <c r="B15" s="27"/>
      <c r="C15" s="27"/>
      <c r="D15" s="25">
        <f>'6'!B15</f>
        <v>0</v>
      </c>
      <c r="E15" s="25">
        <f>'6'!C15</f>
        <v>0</v>
      </c>
      <c r="F15" s="25">
        <f>+'8'!B15</f>
        <v>0</v>
      </c>
      <c r="G15" s="25">
        <f>+'8'!C15</f>
        <v>0</v>
      </c>
      <c r="H15" s="2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row>
    <row r="16" spans="1:171" s="4" customFormat="1" ht="15" customHeight="1" x14ac:dyDescent="0.2">
      <c r="A16" s="10" t="s">
        <v>49</v>
      </c>
      <c r="B16" s="27">
        <f>'4'!B15</f>
        <v>2708398944</v>
      </c>
      <c r="C16" s="27">
        <f>'4'!C15</f>
        <v>2699611274</v>
      </c>
      <c r="D16" s="25">
        <f>'6'!B16</f>
        <v>21636311086</v>
      </c>
      <c r="E16" s="25">
        <f>'6'!C16</f>
        <v>21636311086</v>
      </c>
      <c r="F16" s="25">
        <f>+'8'!B16</f>
        <v>85061828796</v>
      </c>
      <c r="G16" s="25">
        <f>+'8'!C16</f>
        <v>65400344764</v>
      </c>
      <c r="H16" s="25"/>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c r="BI16" s="172"/>
      <c r="BJ16" s="172"/>
      <c r="BK16" s="172"/>
      <c r="BL16" s="172"/>
      <c r="BM16" s="172"/>
      <c r="BN16" s="172"/>
      <c r="BO16" s="172"/>
      <c r="BP16" s="172"/>
      <c r="BQ16" s="172"/>
      <c r="BR16" s="172"/>
      <c r="BS16" s="172"/>
      <c r="BT16" s="172"/>
      <c r="BU16" s="172"/>
      <c r="BV16" s="172"/>
      <c r="BW16" s="17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82"/>
      <c r="FE16" s="82"/>
      <c r="FF16" s="82"/>
      <c r="FG16" s="82"/>
      <c r="FH16" s="82"/>
      <c r="FI16" s="82"/>
      <c r="FJ16" s="82"/>
      <c r="FK16" s="82"/>
      <c r="FL16" s="82"/>
      <c r="FM16" s="82"/>
      <c r="FN16" s="82"/>
      <c r="FO16" s="82"/>
    </row>
    <row r="17" spans="1:171" ht="15" customHeight="1" x14ac:dyDescent="0.2">
      <c r="A17" s="10" t="s">
        <v>50</v>
      </c>
      <c r="B17" s="27">
        <f>'4'!B16</f>
        <v>18498617</v>
      </c>
      <c r="C17" s="27">
        <f>'4'!C16</f>
        <v>9794300</v>
      </c>
      <c r="D17" s="25">
        <f>'6'!B17</f>
        <v>11631093562</v>
      </c>
      <c r="E17" s="25">
        <f>'6'!C17</f>
        <v>12315871144</v>
      </c>
      <c r="F17" s="25">
        <f>+'8'!B17</f>
        <v>3240801364.8899999</v>
      </c>
      <c r="G17" s="25">
        <f>+'8'!C17</f>
        <v>3801675468.8899999</v>
      </c>
      <c r="H17" s="25"/>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2"/>
      <c r="BG17" s="172"/>
      <c r="BH17" s="172"/>
      <c r="BI17" s="172"/>
      <c r="BJ17" s="172"/>
      <c r="BK17" s="172"/>
      <c r="BL17" s="172"/>
      <c r="BM17" s="172"/>
      <c r="BN17" s="172"/>
      <c r="BO17" s="172"/>
      <c r="BP17" s="172"/>
      <c r="BQ17" s="172"/>
      <c r="BR17" s="172"/>
      <c r="BS17" s="172"/>
      <c r="BT17" s="172"/>
      <c r="BU17" s="172"/>
      <c r="BV17" s="172"/>
      <c r="BW17" s="172"/>
    </row>
    <row r="18" spans="1:171" ht="15" customHeight="1" x14ac:dyDescent="0.2">
      <c r="A18" s="10" t="s">
        <v>51</v>
      </c>
      <c r="B18" s="27">
        <f>'4'!B17</f>
        <v>328076128</v>
      </c>
      <c r="C18" s="27">
        <f>'4'!C17</f>
        <v>543084950.08700001</v>
      </c>
      <c r="D18" s="25">
        <f>'6'!B18</f>
        <v>444310567</v>
      </c>
      <c r="E18" s="25">
        <f>'6'!C18</f>
        <v>739148520</v>
      </c>
      <c r="F18" s="25">
        <f>+'8'!B18</f>
        <v>282169957</v>
      </c>
      <c r="G18" s="25">
        <f>+'8'!C18</f>
        <v>4014549216</v>
      </c>
      <c r="H18" s="2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row>
    <row r="19" spans="1:171" s="4" customFormat="1" ht="15" customHeight="1" x14ac:dyDescent="0.2">
      <c r="A19" s="10" t="s">
        <v>52</v>
      </c>
      <c r="B19" s="27">
        <f>'4'!B18</f>
        <v>1349378252</v>
      </c>
      <c r="C19" s="27">
        <f>'4'!C18</f>
        <v>1890478771</v>
      </c>
      <c r="D19" s="25">
        <f>'6'!B19</f>
        <v>8713829770</v>
      </c>
      <c r="E19" s="25">
        <f>'6'!C19</f>
        <v>8713829770</v>
      </c>
      <c r="F19" s="25">
        <f>+'8'!B19</f>
        <v>3017697036</v>
      </c>
      <c r="G19" s="25">
        <f>+'8'!C19</f>
        <v>5017697036</v>
      </c>
      <c r="H19" s="25"/>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c r="BA19" s="172"/>
      <c r="BB19" s="172"/>
      <c r="BC19" s="172"/>
      <c r="BD19" s="172"/>
      <c r="BE19" s="172"/>
      <c r="BF19" s="172"/>
      <c r="BG19" s="172"/>
      <c r="BH19" s="172"/>
      <c r="BI19" s="172"/>
      <c r="BJ19" s="172"/>
      <c r="BK19" s="172"/>
      <c r="BL19" s="172"/>
      <c r="BM19" s="172"/>
      <c r="BN19" s="172"/>
      <c r="BO19" s="172"/>
      <c r="BP19" s="172"/>
      <c r="BQ19" s="172"/>
      <c r="BR19" s="172"/>
      <c r="BS19" s="172"/>
      <c r="BT19" s="172"/>
      <c r="BU19" s="172"/>
      <c r="BV19" s="172"/>
      <c r="BW19" s="17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c r="DU19" s="82"/>
      <c r="DV19" s="82"/>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82"/>
      <c r="FE19" s="82"/>
      <c r="FF19" s="82"/>
      <c r="FG19" s="82"/>
      <c r="FH19" s="82"/>
      <c r="FI19" s="82"/>
      <c r="FJ19" s="82"/>
      <c r="FK19" s="82"/>
      <c r="FL19" s="82"/>
      <c r="FM19" s="82"/>
      <c r="FN19" s="82"/>
      <c r="FO19" s="82"/>
    </row>
    <row r="20" spans="1:171" ht="15" customHeight="1" x14ac:dyDescent="0.2">
      <c r="A20" s="10" t="s">
        <v>53</v>
      </c>
      <c r="B20" s="27">
        <f>'4'!B19</f>
        <v>199772818</v>
      </c>
      <c r="C20" s="27">
        <f>'4'!C19</f>
        <v>0</v>
      </c>
      <c r="D20" s="25">
        <f>'6'!B20</f>
        <v>77906</v>
      </c>
      <c r="E20" s="25">
        <f>'6'!C20</f>
        <v>77906</v>
      </c>
      <c r="F20" s="25">
        <f>+'8'!B20</f>
        <v>1926753582.5999999</v>
      </c>
      <c r="G20" s="25">
        <f>+'8'!C20</f>
        <v>-72607856.400000095</v>
      </c>
      <c r="H20" s="2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row>
    <row r="21" spans="1:171" ht="15" customHeight="1" x14ac:dyDescent="0.2">
      <c r="A21" s="10" t="s">
        <v>54</v>
      </c>
      <c r="B21" s="25">
        <f>'4'!B20</f>
        <v>68468.094999999739</v>
      </c>
      <c r="C21" s="25">
        <f>'4'!C20</f>
        <v>-104921701.126</v>
      </c>
      <c r="D21" s="25">
        <f>'6'!B21</f>
        <v>2183101802</v>
      </c>
      <c r="E21" s="25">
        <f>'6'!C21</f>
        <v>-19897476039</v>
      </c>
      <c r="F21" s="25">
        <f>+'8'!B21</f>
        <v>16187606561.499998</v>
      </c>
      <c r="G21" s="25">
        <f>+'8'!C21</f>
        <v>16865884751.760002</v>
      </c>
      <c r="H21" s="2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row>
    <row r="22" spans="1:171" s="4" customFormat="1" ht="15" customHeight="1" x14ac:dyDescent="0.2">
      <c r="A22" s="10" t="s">
        <v>55</v>
      </c>
      <c r="B22" s="25">
        <f>'4'!B21</f>
        <v>-6091931710.026</v>
      </c>
      <c r="C22" s="25">
        <f>'4'!C21</f>
        <v>-6277368692.9300003</v>
      </c>
      <c r="D22" s="25">
        <f>'6'!B22</f>
        <v>34229964251</v>
      </c>
      <c r="E22" s="25">
        <f>'6'!C22</f>
        <v>35165367900</v>
      </c>
      <c r="F22" s="25">
        <f>+'8'!B22</f>
        <v>59262208835.600006</v>
      </c>
      <c r="G22" s="25">
        <f>+'8'!C22</f>
        <v>71338593498.180008</v>
      </c>
      <c r="H22" s="25"/>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2"/>
      <c r="BA22" s="172"/>
      <c r="BB22" s="172"/>
      <c r="BC22" s="172"/>
      <c r="BD22" s="172"/>
      <c r="BE22" s="172"/>
      <c r="BF22" s="172"/>
      <c r="BG22" s="172"/>
      <c r="BH22" s="172"/>
      <c r="BI22" s="172"/>
      <c r="BJ22" s="172"/>
      <c r="BK22" s="172"/>
      <c r="BL22" s="172"/>
      <c r="BM22" s="172"/>
      <c r="BN22" s="172"/>
      <c r="BO22" s="172"/>
      <c r="BP22" s="172"/>
      <c r="BQ22" s="172"/>
      <c r="BR22" s="172"/>
      <c r="BS22" s="172"/>
      <c r="BT22" s="172"/>
      <c r="BU22" s="172"/>
      <c r="BV22" s="172"/>
      <c r="BW22" s="17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DQ22" s="82"/>
      <c r="DR22" s="82"/>
      <c r="DS22" s="82"/>
      <c r="DT22" s="82"/>
      <c r="DU22" s="82"/>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2"/>
      <c r="EX22" s="82"/>
      <c r="EY22" s="82"/>
      <c r="EZ22" s="82"/>
      <c r="FA22" s="82"/>
      <c r="FB22" s="82"/>
      <c r="FC22" s="82"/>
      <c r="FD22" s="82"/>
      <c r="FE22" s="82"/>
      <c r="FF22" s="82"/>
      <c r="FG22" s="82"/>
      <c r="FH22" s="82"/>
      <c r="FI22" s="82"/>
      <c r="FJ22" s="82"/>
      <c r="FK22" s="82"/>
      <c r="FL22" s="82"/>
      <c r="FM22" s="82"/>
      <c r="FN22" s="82"/>
      <c r="FO22" s="82"/>
    </row>
    <row r="23" spans="1:171" s="4" customFormat="1" ht="15" customHeight="1" x14ac:dyDescent="0.2">
      <c r="A23" s="10" t="s">
        <v>56</v>
      </c>
      <c r="B23" s="25">
        <f>'4'!B22</f>
        <v>-10156668</v>
      </c>
      <c r="C23" s="25">
        <f>'4'!C22</f>
        <v>0</v>
      </c>
      <c r="D23" s="25">
        <f>'6'!B23</f>
        <v>352596044</v>
      </c>
      <c r="E23" s="25">
        <f>'6'!C23</f>
        <v>352596044</v>
      </c>
      <c r="F23" s="25">
        <f>+'8'!B23</f>
        <v>-3157081338</v>
      </c>
      <c r="G23" s="25">
        <f>+'8'!C23</f>
        <v>-2661186199</v>
      </c>
      <c r="H23" s="25"/>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72"/>
      <c r="AX23" s="172"/>
      <c r="AY23" s="172"/>
      <c r="AZ23" s="172"/>
      <c r="BA23" s="172"/>
      <c r="BB23" s="172"/>
      <c r="BC23" s="172"/>
      <c r="BD23" s="172"/>
      <c r="BE23" s="172"/>
      <c r="BF23" s="172"/>
      <c r="BG23" s="172"/>
      <c r="BH23" s="172"/>
      <c r="BI23" s="172"/>
      <c r="BJ23" s="172"/>
      <c r="BK23" s="172"/>
      <c r="BL23" s="172"/>
      <c r="BM23" s="172"/>
      <c r="BN23" s="172"/>
      <c r="BO23" s="172"/>
      <c r="BP23" s="172"/>
      <c r="BQ23" s="172"/>
      <c r="BR23" s="172"/>
      <c r="BS23" s="172"/>
      <c r="BT23" s="172"/>
      <c r="BU23" s="172"/>
      <c r="BV23" s="172"/>
      <c r="BW23" s="17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82"/>
      <c r="DD23" s="82"/>
      <c r="DE23" s="82"/>
      <c r="DF23" s="82"/>
      <c r="DG23" s="82"/>
      <c r="DH23" s="82"/>
      <c r="DI23" s="82"/>
      <c r="DJ23" s="82"/>
      <c r="DK23" s="82"/>
      <c r="DL23" s="82"/>
      <c r="DM23" s="82"/>
      <c r="DN23" s="82"/>
      <c r="DO23" s="82"/>
      <c r="DP23" s="82"/>
      <c r="DQ23" s="82"/>
      <c r="DR23" s="82"/>
      <c r="DS23" s="82"/>
      <c r="DT23" s="82"/>
      <c r="DU23" s="82"/>
      <c r="DV23" s="82"/>
      <c r="DW23" s="82"/>
      <c r="DX23" s="82"/>
      <c r="DY23" s="82"/>
      <c r="DZ23" s="82"/>
      <c r="EA23" s="82"/>
      <c r="EB23" s="82"/>
      <c r="EC23" s="82"/>
      <c r="ED23" s="82"/>
      <c r="EE23" s="82"/>
      <c r="EF23" s="82"/>
      <c r="EG23" s="82"/>
      <c r="EH23" s="82"/>
      <c r="EI23" s="82"/>
      <c r="EJ23" s="82"/>
      <c r="EK23" s="82"/>
      <c r="EL23" s="82"/>
      <c r="EM23" s="82"/>
      <c r="EN23" s="82"/>
      <c r="EO23" s="82"/>
      <c r="EP23" s="82"/>
      <c r="EQ23" s="82"/>
      <c r="ER23" s="82"/>
      <c r="ES23" s="82"/>
      <c r="ET23" s="82"/>
      <c r="EU23" s="82"/>
      <c r="EV23" s="82"/>
      <c r="EW23" s="82"/>
      <c r="EX23" s="82"/>
      <c r="EY23" s="82"/>
      <c r="EZ23" s="82"/>
      <c r="FA23" s="82"/>
      <c r="FB23" s="82"/>
      <c r="FC23" s="82"/>
      <c r="FD23" s="82"/>
      <c r="FE23" s="82"/>
      <c r="FF23" s="82"/>
      <c r="FG23" s="82"/>
      <c r="FH23" s="82"/>
      <c r="FI23" s="82"/>
      <c r="FJ23" s="82"/>
      <c r="FK23" s="82"/>
      <c r="FL23" s="82"/>
      <c r="FM23" s="82"/>
      <c r="FN23" s="82"/>
      <c r="FO23" s="82"/>
    </row>
    <row r="24" spans="1:171" ht="15" customHeight="1" x14ac:dyDescent="0.2">
      <c r="A24" s="10" t="s">
        <v>57</v>
      </c>
      <c r="B24" s="25">
        <f>'4'!B23</f>
        <v>0</v>
      </c>
      <c r="C24" s="25">
        <f>'4'!C23</f>
        <v>0</v>
      </c>
      <c r="D24" s="25">
        <f>'6'!B24</f>
        <v>212700000</v>
      </c>
      <c r="E24" s="25">
        <f>'6'!C24</f>
        <v>212700000</v>
      </c>
      <c r="F24" s="25">
        <f>+'8'!B24</f>
        <v>36791095936.449997</v>
      </c>
      <c r="G24" s="25">
        <f>+'8'!C24</f>
        <v>37377208936.449997</v>
      </c>
      <c r="H24" s="2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row>
    <row r="25" spans="1:171" ht="15" customHeight="1" x14ac:dyDescent="0.2">
      <c r="A25" s="10" t="s">
        <v>58</v>
      </c>
      <c r="B25" s="129">
        <f>'4'!B24</f>
        <v>-374235154</v>
      </c>
      <c r="C25" s="129">
        <f>'4'!C24</f>
        <v>-240081673</v>
      </c>
      <c r="D25" s="25">
        <f>'6'!B25</f>
        <v>-36813402</v>
      </c>
      <c r="E25" s="25">
        <f>'6'!C25</f>
        <v>-43062326</v>
      </c>
      <c r="F25" s="25">
        <f>+'8'!B25</f>
        <v>2401429787</v>
      </c>
      <c r="G25" s="25">
        <f>+'8'!C25</f>
        <v>2416103635</v>
      </c>
      <c r="H25" s="25"/>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2"/>
      <c r="BC25" s="172"/>
      <c r="BD25" s="172"/>
      <c r="BE25" s="172"/>
      <c r="BF25" s="172"/>
      <c r="BG25" s="172"/>
      <c r="BH25" s="172"/>
      <c r="BI25" s="172"/>
      <c r="BJ25" s="172"/>
      <c r="BK25" s="172"/>
      <c r="BL25" s="172"/>
      <c r="BM25" s="172"/>
      <c r="BN25" s="172"/>
      <c r="BO25" s="172"/>
      <c r="BP25" s="172"/>
      <c r="BQ25" s="172"/>
      <c r="BR25" s="172"/>
      <c r="BS25" s="172"/>
      <c r="BT25" s="172"/>
      <c r="BU25" s="172"/>
      <c r="BV25" s="172"/>
      <c r="BW25" s="172"/>
    </row>
    <row r="26" spans="1:171" ht="12.75" customHeight="1" x14ac:dyDescent="0.2">
      <c r="A26" s="6" t="s">
        <v>59</v>
      </c>
      <c r="B26" s="86">
        <f t="shared" ref="B26:G26" si="2">SUM(B16:B25)</f>
        <v>-1872130304.9309998</v>
      </c>
      <c r="C26" s="86">
        <f t="shared" si="2"/>
        <v>-1479402771.9690008</v>
      </c>
      <c r="D26" s="218">
        <f t="shared" si="2"/>
        <v>79367171586</v>
      </c>
      <c r="E26" s="218">
        <f t="shared" si="2"/>
        <v>59195364005</v>
      </c>
      <c r="F26" s="218">
        <f t="shared" si="2"/>
        <v>205014510519.04004</v>
      </c>
      <c r="G26" s="218">
        <f t="shared" si="2"/>
        <v>203498263250.88</v>
      </c>
      <c r="H26" s="25"/>
    </row>
    <row r="27" spans="1:171" ht="12.75" customHeight="1" x14ac:dyDescent="0.2">
      <c r="A27" s="6" t="s">
        <v>60</v>
      </c>
      <c r="B27" s="218">
        <f t="shared" ref="B27:G27" si="3">+B26+B14</f>
        <v>20720863461.818001</v>
      </c>
      <c r="C27" s="218">
        <f t="shared" si="3"/>
        <v>19518903619.508999</v>
      </c>
      <c r="D27" s="218">
        <f t="shared" si="3"/>
        <v>209914591039</v>
      </c>
      <c r="E27" s="218">
        <f t="shared" si="3"/>
        <v>209245747128</v>
      </c>
      <c r="F27" s="218">
        <f t="shared" si="3"/>
        <v>652605185852.90002</v>
      </c>
      <c r="G27" s="218">
        <f t="shared" si="3"/>
        <v>704626687272.83008</v>
      </c>
      <c r="H27" s="25"/>
    </row>
    <row r="28" spans="1:171" ht="12.75" customHeight="1" x14ac:dyDescent="0.2">
      <c r="A28" s="13" t="s">
        <v>61</v>
      </c>
      <c r="B28" s="27">
        <f>'4'!B27</f>
        <v>14693399954.721001</v>
      </c>
      <c r="C28" s="27">
        <f>'4'!C27</f>
        <v>8208400314.8950005</v>
      </c>
      <c r="D28" s="25">
        <f>'6'!B28</f>
        <v>396520794719</v>
      </c>
      <c r="E28" s="25">
        <f>'6'!C28</f>
        <v>467860490015</v>
      </c>
      <c r="F28" s="25">
        <f>+'8'!B28</f>
        <v>299815674664.67004</v>
      </c>
      <c r="G28" s="25">
        <f>+'8'!C28</f>
        <v>439015049043</v>
      </c>
      <c r="H28" s="25"/>
    </row>
    <row r="29" spans="1:171" ht="12.75" customHeight="1" x14ac:dyDescent="0.2">
      <c r="A29" s="13" t="s">
        <v>62</v>
      </c>
      <c r="B29" s="27">
        <f>'4'!B28</f>
        <v>521646055.23400003</v>
      </c>
      <c r="C29" s="27">
        <f>'4'!C28</f>
        <v>41809966.946000002</v>
      </c>
      <c r="D29" s="25">
        <f>'6'!B29</f>
        <v>365396724203</v>
      </c>
      <c r="E29" s="25">
        <f>'6'!C29</f>
        <v>454713488740</v>
      </c>
      <c r="F29" s="25">
        <f>+'8'!B29</f>
        <v>250368507940</v>
      </c>
      <c r="G29" s="25">
        <f>+'8'!C29</f>
        <v>352154237157</v>
      </c>
      <c r="H29" s="25"/>
    </row>
    <row r="30" spans="1:171" ht="12.75" customHeight="1" x14ac:dyDescent="0.2">
      <c r="A30" s="10" t="s">
        <v>63</v>
      </c>
      <c r="B30" s="27">
        <f>'4'!B29</f>
        <v>14835955738.065001</v>
      </c>
      <c r="C30" s="27">
        <f>'4'!C29</f>
        <v>7879627340.4750004</v>
      </c>
      <c r="D30" s="25">
        <f>'6'!B30</f>
        <v>23645509476</v>
      </c>
      <c r="E30" s="25">
        <f>'6'!C30</f>
        <v>27800129833</v>
      </c>
      <c r="F30" s="25">
        <f>+'8'!B30</f>
        <v>24133083598.59</v>
      </c>
      <c r="G30" s="25">
        <f>+'8'!C30</f>
        <v>45636988761.419998</v>
      </c>
      <c r="H30" s="25"/>
    </row>
    <row r="31" spans="1:171" ht="12.75" customHeight="1" x14ac:dyDescent="0.2">
      <c r="A31" s="6" t="s">
        <v>64</v>
      </c>
      <c r="B31" s="86">
        <f t="shared" ref="B31:G31" si="4">+B28-B29-B30</f>
        <v>-664201838.57799911</v>
      </c>
      <c r="C31" s="86">
        <f t="shared" si="4"/>
        <v>286963007.47399998</v>
      </c>
      <c r="D31" s="28">
        <f t="shared" si="4"/>
        <v>7478561040</v>
      </c>
      <c r="E31" s="86">
        <f t="shared" si="4"/>
        <v>-14653128558</v>
      </c>
      <c r="F31" s="28">
        <f t="shared" si="4"/>
        <v>25314083126.080044</v>
      </c>
      <c r="G31" s="28">
        <f t="shared" si="4"/>
        <v>41223823124.580002</v>
      </c>
      <c r="H31" s="25"/>
    </row>
    <row r="32" spans="1:171" ht="12.75" customHeight="1" x14ac:dyDescent="0.2">
      <c r="A32" s="10" t="s">
        <v>65</v>
      </c>
      <c r="B32" s="27">
        <f>'4'!B31</f>
        <v>300055102.56799996</v>
      </c>
      <c r="C32" s="27">
        <f>'4'!C31</f>
        <v>143885567.07099998</v>
      </c>
      <c r="D32" s="25">
        <f>'6'!B32</f>
        <v>6180059803</v>
      </c>
      <c r="E32" s="25">
        <f>'6'!C32</f>
        <v>16180728613</v>
      </c>
      <c r="F32" s="25">
        <f>+'8'!B32</f>
        <v>31767201837.419998</v>
      </c>
      <c r="G32" s="25">
        <f>+'8'!C32</f>
        <v>10712532493.73</v>
      </c>
      <c r="H32" s="25"/>
    </row>
    <row r="33" spans="1:7" ht="12.75" customHeight="1" x14ac:dyDescent="0.2">
      <c r="A33" s="10" t="s">
        <v>66</v>
      </c>
      <c r="B33" s="27">
        <f>'4'!B32</f>
        <v>859225101.32700002</v>
      </c>
      <c r="C33" s="27">
        <f>'4'!C32</f>
        <v>698797974.72099996</v>
      </c>
      <c r="D33" s="25">
        <f>'6'!B33</f>
        <v>8593076917</v>
      </c>
      <c r="E33" s="25">
        <f>'6'!C33</f>
        <v>17605248506</v>
      </c>
      <c r="F33" s="25">
        <f>+'8'!B33</f>
        <v>42278176485</v>
      </c>
      <c r="G33" s="25">
        <f>+'8'!C33</f>
        <v>42554366071</v>
      </c>
    </row>
    <row r="34" spans="1:7" ht="12.75" customHeight="1" x14ac:dyDescent="0.2">
      <c r="A34" s="11" t="s">
        <v>67</v>
      </c>
      <c r="B34" s="79">
        <f t="shared" ref="B34:G34" si="5">+B31+B32-B33</f>
        <v>-1223371837.3369992</v>
      </c>
      <c r="C34" s="79">
        <f t="shared" si="5"/>
        <v>-267949400.176</v>
      </c>
      <c r="D34" s="221">
        <f t="shared" si="5"/>
        <v>5065543926</v>
      </c>
      <c r="E34" s="79">
        <f t="shared" si="5"/>
        <v>-16077648451</v>
      </c>
      <c r="F34" s="222">
        <f t="shared" si="5"/>
        <v>14803108478.500046</v>
      </c>
      <c r="G34" s="222">
        <f t="shared" si="5"/>
        <v>9381989547.3099976</v>
      </c>
    </row>
    <row r="35" spans="1:7" ht="12.75" customHeight="1" x14ac:dyDescent="0.2">
      <c r="A35" s="10" t="s">
        <v>68</v>
      </c>
      <c r="B35" s="26">
        <f>'4'!B34</f>
        <v>-36757542</v>
      </c>
      <c r="C35" s="129">
        <f>'4'!C34</f>
        <v>-3530480</v>
      </c>
      <c r="D35" s="129">
        <f>'6'!B35</f>
        <v>-2534704093</v>
      </c>
      <c r="E35" s="129">
        <f>'6'!C35</f>
        <v>-2686984964</v>
      </c>
      <c r="F35" s="25">
        <f>+'8'!B35</f>
        <v>3884554442</v>
      </c>
      <c r="G35" s="25">
        <f>+'8'!C35</f>
        <v>9140723983</v>
      </c>
    </row>
    <row r="36" spans="1:7" ht="12.75" customHeight="1" x14ac:dyDescent="0.2">
      <c r="A36" s="6" t="s">
        <v>69</v>
      </c>
      <c r="B36" s="86">
        <f t="shared" ref="B36:G36" si="6">+B34-B35</f>
        <v>-1186614295.3369992</v>
      </c>
      <c r="C36" s="86">
        <f t="shared" si="6"/>
        <v>-264418920.176</v>
      </c>
      <c r="D36" s="29">
        <f t="shared" si="6"/>
        <v>7600248019</v>
      </c>
      <c r="E36" s="86">
        <f t="shared" si="6"/>
        <v>-13390663487</v>
      </c>
      <c r="F36" s="29">
        <f t="shared" si="6"/>
        <v>10918554036.500046</v>
      </c>
      <c r="G36" s="29">
        <f t="shared" si="6"/>
        <v>241265564.30999756</v>
      </c>
    </row>
    <row r="37" spans="1:7" s="17" customFormat="1" ht="12.75" customHeight="1" x14ac:dyDescent="0.2">
      <c r="A37" s="82"/>
      <c r="B37" s="170"/>
      <c r="C37" s="170"/>
    </row>
    <row r="38" spans="1:7" s="17" customFormat="1" ht="12.75" customHeight="1" x14ac:dyDescent="0.2">
      <c r="A38" s="82"/>
      <c r="B38" s="115">
        <f t="shared" ref="B38:G38" si="7">+B10-B27</f>
        <v>0</v>
      </c>
      <c r="C38" s="115">
        <f t="shared" si="7"/>
        <v>1016.5620002746582</v>
      </c>
      <c r="D38" s="115">
        <f t="shared" si="7"/>
        <v>0</v>
      </c>
      <c r="E38" s="115">
        <f t="shared" si="7"/>
        <v>0</v>
      </c>
      <c r="F38" s="115">
        <f t="shared" si="7"/>
        <v>0</v>
      </c>
      <c r="G38" s="115">
        <f t="shared" si="7"/>
        <v>0</v>
      </c>
    </row>
    <row r="39" spans="1:7" s="17" customFormat="1" ht="12.75" customHeight="1" x14ac:dyDescent="0.2">
      <c r="A39" s="82"/>
      <c r="B39" s="170"/>
      <c r="C39" s="170"/>
    </row>
    <row r="40" spans="1:7" s="17" customFormat="1" ht="12.75" customHeight="1" x14ac:dyDescent="0.2">
      <c r="A40" s="82"/>
      <c r="B40" s="170"/>
      <c r="C40" s="170"/>
    </row>
    <row r="41" spans="1:7" s="17" customFormat="1" ht="12.75" customHeight="1" x14ac:dyDescent="0.2">
      <c r="A41" s="82"/>
      <c r="B41" s="170"/>
      <c r="C41" s="170"/>
    </row>
    <row r="42" spans="1:7" s="17" customFormat="1" ht="12.75" customHeight="1" x14ac:dyDescent="0.2">
      <c r="A42" s="82"/>
      <c r="B42" s="170"/>
      <c r="C42" s="170"/>
    </row>
    <row r="43" spans="1:7" s="17" customFormat="1" ht="12.75" customHeight="1" x14ac:dyDescent="0.2">
      <c r="A43" s="82"/>
      <c r="B43" s="170"/>
      <c r="C43" s="170"/>
    </row>
    <row r="44" spans="1:7" s="17" customFormat="1" ht="12.75" customHeight="1" x14ac:dyDescent="0.2">
      <c r="A44" s="82"/>
      <c r="B44" s="170"/>
      <c r="C44" s="170"/>
    </row>
    <row r="45" spans="1:7" s="17" customFormat="1" ht="12.75" customHeight="1" x14ac:dyDescent="0.2">
      <c r="A45" s="82"/>
      <c r="B45" s="170"/>
      <c r="C45" s="170"/>
    </row>
    <row r="46" spans="1:7" s="17" customFormat="1" ht="12.75" customHeight="1" x14ac:dyDescent="0.2">
      <c r="A46" s="82"/>
      <c r="B46" s="170"/>
      <c r="C46" s="170"/>
    </row>
    <row r="47" spans="1:7" s="17" customFormat="1" ht="12.75" customHeight="1" x14ac:dyDescent="0.2">
      <c r="A47" s="82"/>
      <c r="B47" s="170"/>
      <c r="C47" s="170"/>
    </row>
    <row r="48" spans="1:7" s="17" customFormat="1" ht="12.75" customHeight="1" x14ac:dyDescent="0.2">
      <c r="A48" s="82"/>
      <c r="B48" s="170"/>
      <c r="C48" s="170"/>
    </row>
    <row r="49" spans="1:3" s="17" customFormat="1" ht="12.75" customHeight="1" x14ac:dyDescent="0.2">
      <c r="A49" s="82"/>
      <c r="B49" s="170"/>
      <c r="C49" s="170"/>
    </row>
    <row r="50" spans="1:3" s="17" customFormat="1" ht="12.75" customHeight="1" x14ac:dyDescent="0.2">
      <c r="A50" s="82"/>
      <c r="B50" s="170"/>
      <c r="C50" s="170"/>
    </row>
    <row r="51" spans="1:3" s="17" customFormat="1" ht="12.75" customHeight="1" x14ac:dyDescent="0.2">
      <c r="A51" s="82"/>
      <c r="B51" s="170"/>
      <c r="C51" s="170"/>
    </row>
    <row r="52" spans="1:3" s="17" customFormat="1" ht="12.75" customHeight="1" x14ac:dyDescent="0.2">
      <c r="A52" s="82"/>
      <c r="B52" s="170"/>
      <c r="C52" s="170"/>
    </row>
    <row r="53" spans="1:3" s="17" customFormat="1" ht="12.75" customHeight="1" x14ac:dyDescent="0.2">
      <c r="A53" s="82"/>
      <c r="B53" s="170"/>
      <c r="C53" s="170"/>
    </row>
    <row r="54" spans="1:3" s="17" customFormat="1" ht="12.75" customHeight="1" x14ac:dyDescent="0.2">
      <c r="A54" s="82"/>
      <c r="B54" s="170"/>
      <c r="C54" s="170"/>
    </row>
    <row r="55" spans="1:3" s="17" customFormat="1" ht="12.75" customHeight="1" x14ac:dyDescent="0.2">
      <c r="A55" s="82"/>
      <c r="B55" s="170"/>
      <c r="C55" s="170"/>
    </row>
    <row r="56" spans="1:3" s="17" customFormat="1" ht="12.75" customHeight="1" x14ac:dyDescent="0.2">
      <c r="A56" s="82"/>
      <c r="B56" s="170"/>
      <c r="C56" s="170"/>
    </row>
    <row r="57" spans="1:3" s="17" customFormat="1" ht="12.75" customHeight="1" x14ac:dyDescent="0.2">
      <c r="A57" s="82"/>
      <c r="B57" s="170"/>
      <c r="C57" s="170"/>
    </row>
    <row r="58" spans="1:3" s="17" customFormat="1" ht="12.75" customHeight="1" x14ac:dyDescent="0.2">
      <c r="A58" s="82"/>
      <c r="B58" s="170"/>
      <c r="C58" s="170"/>
    </row>
    <row r="59" spans="1:3" s="17" customFormat="1" ht="12.75" customHeight="1" x14ac:dyDescent="0.2">
      <c r="A59" s="82"/>
      <c r="B59" s="170"/>
      <c r="C59" s="170"/>
    </row>
    <row r="60" spans="1:3" s="17" customFormat="1" ht="12.75" customHeight="1" x14ac:dyDescent="0.2">
      <c r="A60" s="82"/>
      <c r="B60" s="170"/>
      <c r="C60" s="170"/>
    </row>
    <row r="61" spans="1:3" s="17" customFormat="1" ht="12.75" customHeight="1" x14ac:dyDescent="0.2">
      <c r="A61" s="82"/>
      <c r="B61" s="170"/>
      <c r="C61" s="170"/>
    </row>
    <row r="62" spans="1:3" s="17" customFormat="1" ht="12.75" customHeight="1" x14ac:dyDescent="0.2">
      <c r="A62" s="82"/>
      <c r="B62" s="170"/>
      <c r="C62" s="170"/>
    </row>
    <row r="63" spans="1:3" s="17" customFormat="1" ht="12.75" customHeight="1" x14ac:dyDescent="0.2">
      <c r="A63" s="82"/>
      <c r="B63" s="170"/>
      <c r="C63" s="170"/>
    </row>
    <row r="64" spans="1:3" s="17" customFormat="1" ht="12.75" customHeight="1" x14ac:dyDescent="0.2">
      <c r="A64" s="82"/>
      <c r="B64" s="82"/>
      <c r="C64" s="82"/>
    </row>
    <row r="65" spans="1:3" s="17" customFormat="1" ht="12.75" customHeight="1" x14ac:dyDescent="0.2">
      <c r="A65" s="82"/>
      <c r="B65" s="82"/>
      <c r="C65" s="82"/>
    </row>
    <row r="66" spans="1:3" s="17" customFormat="1" ht="12.75" customHeight="1" x14ac:dyDescent="0.2">
      <c r="A66" s="82"/>
      <c r="B66" s="82"/>
      <c r="C66" s="82"/>
    </row>
    <row r="67" spans="1:3" s="17" customFormat="1" ht="12.75" customHeight="1" x14ac:dyDescent="0.2">
      <c r="A67" s="82"/>
      <c r="B67" s="82"/>
      <c r="C67" s="82"/>
    </row>
    <row r="68" spans="1:3" s="17" customFormat="1" ht="12.75" customHeight="1" x14ac:dyDescent="0.2">
      <c r="A68" s="82"/>
      <c r="B68" s="82"/>
      <c r="C68" s="82"/>
    </row>
    <row r="69" spans="1:3" s="17" customFormat="1" ht="12.75" customHeight="1" x14ac:dyDescent="0.2">
      <c r="A69" s="82"/>
      <c r="B69" s="82"/>
      <c r="C69" s="82"/>
    </row>
    <row r="70" spans="1:3" s="17" customFormat="1" ht="12.75" customHeight="1" x14ac:dyDescent="0.2">
      <c r="A70" s="82"/>
      <c r="B70" s="82"/>
      <c r="C70" s="82"/>
    </row>
    <row r="71" spans="1:3" s="17" customFormat="1" ht="12.75" customHeight="1" x14ac:dyDescent="0.2">
      <c r="A71" s="82"/>
      <c r="B71" s="82"/>
      <c r="C71" s="82"/>
    </row>
    <row r="72" spans="1:3" s="17" customFormat="1" ht="12.75" customHeight="1" x14ac:dyDescent="0.2">
      <c r="A72" s="82"/>
      <c r="B72" s="82"/>
      <c r="C72" s="82"/>
    </row>
    <row r="73" spans="1:3" s="17" customFormat="1" ht="12.75" customHeight="1" x14ac:dyDescent="0.2">
      <c r="A73" s="82"/>
      <c r="B73" s="82"/>
      <c r="C73" s="82"/>
    </row>
    <row r="74" spans="1:3" s="17" customFormat="1" ht="12.75" customHeight="1" x14ac:dyDescent="0.2">
      <c r="A74" s="82"/>
      <c r="B74" s="82"/>
      <c r="C74" s="82"/>
    </row>
    <row r="75" spans="1:3" s="17" customFormat="1" ht="12.75" customHeight="1" x14ac:dyDescent="0.2">
      <c r="A75" s="82"/>
      <c r="B75" s="82"/>
      <c r="C75" s="82"/>
    </row>
    <row r="76" spans="1:3" s="17" customFormat="1" ht="12.75" customHeight="1" x14ac:dyDescent="0.2">
      <c r="A76" s="82"/>
      <c r="B76" s="82"/>
      <c r="C76" s="82"/>
    </row>
    <row r="77" spans="1:3" s="17" customFormat="1" ht="12.75" customHeight="1" x14ac:dyDescent="0.2">
      <c r="A77" s="82"/>
      <c r="B77" s="82"/>
      <c r="C77" s="82"/>
    </row>
    <row r="78" spans="1:3" s="17" customFormat="1" x14ac:dyDescent="0.2"/>
    <row r="79" spans="1:3" s="17" customFormat="1" x14ac:dyDescent="0.2"/>
    <row r="80" spans="1:3" s="17" customFormat="1" x14ac:dyDescent="0.2"/>
    <row r="81" s="17" customFormat="1" x14ac:dyDescent="0.2"/>
    <row r="82" s="17" customFormat="1" x14ac:dyDescent="0.2"/>
    <row r="83" s="17" customFormat="1" x14ac:dyDescent="0.2"/>
    <row r="84" s="17" customFormat="1" x14ac:dyDescent="0.2"/>
    <row r="85" s="17" customFormat="1" x14ac:dyDescent="0.2"/>
    <row r="86" s="17" customFormat="1" x14ac:dyDescent="0.2"/>
    <row r="87" s="17" customFormat="1" x14ac:dyDescent="0.2"/>
    <row r="88" s="17" customFormat="1" x14ac:dyDescent="0.2"/>
    <row r="89" s="17" customFormat="1" x14ac:dyDescent="0.2"/>
    <row r="90" s="17" customFormat="1" x14ac:dyDescent="0.2"/>
    <row r="91" s="17" customFormat="1" x14ac:dyDescent="0.2"/>
    <row r="92" s="17" customFormat="1" x14ac:dyDescent="0.2"/>
    <row r="93" s="17" customFormat="1" x14ac:dyDescent="0.2"/>
    <row r="94" s="17" customFormat="1" x14ac:dyDescent="0.2"/>
    <row r="95" s="17" customFormat="1" x14ac:dyDescent="0.2"/>
    <row r="96" s="17" customFormat="1" x14ac:dyDescent="0.2"/>
    <row r="97" s="17" customFormat="1" x14ac:dyDescent="0.2"/>
    <row r="98" s="17" customFormat="1" x14ac:dyDescent="0.2"/>
    <row r="99" s="17" customFormat="1" x14ac:dyDescent="0.2"/>
    <row r="100" s="17" customFormat="1" x14ac:dyDescent="0.2"/>
    <row r="101" s="17" customFormat="1" x14ac:dyDescent="0.2"/>
    <row r="102" s="17" customFormat="1" x14ac:dyDescent="0.2"/>
    <row r="103" s="17" customFormat="1" x14ac:dyDescent="0.2"/>
    <row r="104" s="17" customFormat="1" x14ac:dyDescent="0.2"/>
    <row r="105" s="17" customFormat="1" x14ac:dyDescent="0.2"/>
    <row r="106" s="17" customFormat="1" x14ac:dyDescent="0.2"/>
    <row r="107" s="17" customFormat="1" x14ac:dyDescent="0.2"/>
    <row r="108" s="17" customFormat="1" x14ac:dyDescent="0.2"/>
    <row r="109" s="17" customFormat="1" x14ac:dyDescent="0.2"/>
    <row r="110" s="17" customFormat="1" x14ac:dyDescent="0.2"/>
    <row r="111" s="17" customFormat="1" x14ac:dyDescent="0.2"/>
    <row r="112" s="17" customFormat="1" x14ac:dyDescent="0.2"/>
    <row r="113" s="17" customFormat="1" x14ac:dyDescent="0.2"/>
    <row r="114" s="17" customFormat="1" x14ac:dyDescent="0.2"/>
    <row r="115" s="17" customFormat="1" x14ac:dyDescent="0.2"/>
    <row r="116" s="17" customFormat="1" x14ac:dyDescent="0.2"/>
    <row r="117" s="17" customFormat="1" x14ac:dyDescent="0.2"/>
    <row r="118" s="17" customFormat="1" x14ac:dyDescent="0.2"/>
    <row r="119" s="17" customFormat="1" x14ac:dyDescent="0.2"/>
    <row r="120" s="17" customFormat="1" x14ac:dyDescent="0.2"/>
    <row r="121" s="17" customFormat="1" x14ac:dyDescent="0.2"/>
    <row r="122" s="17" customFormat="1" x14ac:dyDescent="0.2"/>
    <row r="123" s="17" customFormat="1" x14ac:dyDescent="0.2"/>
    <row r="124" s="17" customFormat="1" x14ac:dyDescent="0.2"/>
    <row r="125" s="17" customFormat="1" x14ac:dyDescent="0.2"/>
    <row r="126" s="17" customFormat="1" x14ac:dyDescent="0.2"/>
    <row r="127" s="17" customFormat="1" x14ac:dyDescent="0.2"/>
    <row r="128" s="17" customFormat="1" x14ac:dyDescent="0.2"/>
    <row r="129" s="17" customFormat="1" x14ac:dyDescent="0.2"/>
    <row r="130" s="17" customFormat="1" x14ac:dyDescent="0.2"/>
    <row r="131" s="17" customFormat="1" x14ac:dyDescent="0.2"/>
    <row r="132" s="17" customFormat="1" x14ac:dyDescent="0.2"/>
    <row r="133" s="17" customFormat="1" x14ac:dyDescent="0.2"/>
    <row r="134" s="17" customFormat="1" x14ac:dyDescent="0.2"/>
    <row r="135" s="17" customFormat="1" x14ac:dyDescent="0.2"/>
    <row r="136" s="17" customFormat="1" x14ac:dyDescent="0.2"/>
    <row r="137" s="17" customFormat="1" x14ac:dyDescent="0.2"/>
    <row r="138" s="17" customFormat="1" x14ac:dyDescent="0.2"/>
    <row r="139" s="17" customFormat="1" x14ac:dyDescent="0.2"/>
    <row r="140" s="17" customFormat="1" x14ac:dyDescent="0.2"/>
    <row r="141" s="17" customFormat="1" x14ac:dyDescent="0.2"/>
    <row r="142" s="17" customFormat="1" x14ac:dyDescent="0.2"/>
    <row r="143" s="17" customFormat="1" x14ac:dyDescent="0.2"/>
    <row r="144" s="17" customFormat="1" x14ac:dyDescent="0.2"/>
    <row r="145" s="17" customFormat="1" x14ac:dyDescent="0.2"/>
    <row r="146" s="17" customFormat="1" x14ac:dyDescent="0.2"/>
    <row r="147" s="17" customFormat="1" x14ac:dyDescent="0.2"/>
    <row r="148" s="17" customFormat="1" x14ac:dyDescent="0.2"/>
    <row r="149" s="17" customFormat="1" x14ac:dyDescent="0.2"/>
    <row r="150" s="17" customFormat="1" x14ac:dyDescent="0.2"/>
    <row r="151" s="17" customFormat="1" x14ac:dyDescent="0.2"/>
    <row r="152" s="17" customFormat="1" x14ac:dyDescent="0.2"/>
    <row r="153" s="17" customFormat="1" x14ac:dyDescent="0.2"/>
    <row r="154" s="17" customFormat="1" x14ac:dyDescent="0.2"/>
    <row r="155" s="17" customFormat="1" x14ac:dyDescent="0.2"/>
    <row r="156" s="17" customFormat="1" x14ac:dyDescent="0.2"/>
    <row r="157" s="17" customFormat="1" x14ac:dyDescent="0.2"/>
    <row r="158" s="17" customFormat="1" x14ac:dyDescent="0.2"/>
    <row r="159" s="17" customFormat="1" x14ac:dyDescent="0.2"/>
    <row r="160" s="17" customFormat="1" x14ac:dyDescent="0.2"/>
    <row r="161" s="17" customFormat="1" x14ac:dyDescent="0.2"/>
    <row r="162" s="17" customFormat="1" x14ac:dyDescent="0.2"/>
    <row r="163" s="17" customFormat="1" x14ac:dyDescent="0.2"/>
    <row r="164" s="17" customFormat="1" x14ac:dyDescent="0.2"/>
    <row r="165" s="17" customFormat="1" x14ac:dyDescent="0.2"/>
    <row r="166" s="17" customFormat="1" x14ac:dyDescent="0.2"/>
    <row r="167" s="17" customFormat="1" x14ac:dyDescent="0.2"/>
    <row r="168" s="17" customFormat="1" x14ac:dyDescent="0.2"/>
    <row r="169" s="17" customFormat="1" x14ac:dyDescent="0.2"/>
    <row r="170" s="17" customFormat="1" x14ac:dyDescent="0.2"/>
    <row r="171" s="17" customFormat="1" x14ac:dyDescent="0.2"/>
    <row r="172" s="17" customFormat="1" x14ac:dyDescent="0.2"/>
    <row r="173" s="17" customFormat="1" x14ac:dyDescent="0.2"/>
    <row r="174" s="17" customFormat="1" x14ac:dyDescent="0.2"/>
    <row r="175" s="17" customFormat="1" x14ac:dyDescent="0.2"/>
    <row r="176" s="17" customFormat="1" x14ac:dyDescent="0.2"/>
    <row r="177" s="17" customFormat="1" x14ac:dyDescent="0.2"/>
    <row r="178" s="17" customFormat="1" x14ac:dyDescent="0.2"/>
    <row r="179" s="17" customFormat="1" x14ac:dyDescent="0.2"/>
    <row r="180" s="17" customFormat="1" x14ac:dyDescent="0.2"/>
    <row r="181" s="17" customFormat="1" x14ac:dyDescent="0.2"/>
    <row r="182" s="17" customFormat="1" x14ac:dyDescent="0.2"/>
    <row r="183" s="17" customFormat="1" x14ac:dyDescent="0.2"/>
    <row r="184" s="17" customFormat="1" x14ac:dyDescent="0.2"/>
    <row r="185" s="17" customFormat="1" x14ac:dyDescent="0.2"/>
    <row r="186" s="17" customFormat="1" x14ac:dyDescent="0.2"/>
    <row r="187" s="17" customFormat="1" x14ac:dyDescent="0.2"/>
    <row r="188" s="17" customFormat="1" x14ac:dyDescent="0.2"/>
    <row r="189" s="17" customFormat="1" x14ac:dyDescent="0.2"/>
    <row r="190" s="17" customFormat="1" x14ac:dyDescent="0.2"/>
    <row r="191" s="17" customFormat="1" x14ac:dyDescent="0.2"/>
    <row r="192" s="17" customFormat="1" x14ac:dyDescent="0.2"/>
    <row r="193" s="17" customFormat="1" x14ac:dyDescent="0.2"/>
    <row r="194" s="17" customFormat="1" x14ac:dyDescent="0.2"/>
    <row r="195" s="17" customFormat="1" x14ac:dyDescent="0.2"/>
    <row r="196" s="17" customFormat="1" x14ac:dyDescent="0.2"/>
    <row r="197" s="17" customFormat="1" x14ac:dyDescent="0.2"/>
    <row r="198" s="17" customFormat="1" x14ac:dyDescent="0.2"/>
    <row r="199" s="17" customFormat="1" x14ac:dyDescent="0.2"/>
    <row r="200" s="17" customFormat="1" x14ac:dyDescent="0.2"/>
    <row r="201" s="17" customFormat="1" x14ac:dyDescent="0.2"/>
    <row r="202" s="17" customFormat="1" x14ac:dyDescent="0.2"/>
    <row r="203" s="17" customFormat="1" x14ac:dyDescent="0.2"/>
    <row r="204" s="17" customFormat="1" x14ac:dyDescent="0.2"/>
    <row r="205" s="17" customFormat="1" x14ac:dyDescent="0.2"/>
    <row r="206" s="17" customFormat="1" x14ac:dyDescent="0.2"/>
    <row r="207" s="17" customFormat="1" x14ac:dyDescent="0.2"/>
    <row r="208" s="17" customFormat="1" x14ac:dyDescent="0.2"/>
    <row r="209" s="17" customFormat="1" x14ac:dyDescent="0.2"/>
    <row r="210" s="17" customFormat="1" x14ac:dyDescent="0.2"/>
    <row r="211" s="17" customFormat="1" x14ac:dyDescent="0.2"/>
    <row r="212" s="17" customFormat="1" x14ac:dyDescent="0.2"/>
    <row r="213" s="17" customFormat="1" x14ac:dyDescent="0.2"/>
    <row r="214" s="17" customFormat="1" x14ac:dyDescent="0.2"/>
    <row r="215" s="17" customFormat="1" x14ac:dyDescent="0.2"/>
    <row r="216" s="17" customFormat="1" x14ac:dyDescent="0.2"/>
    <row r="217" s="17" customFormat="1" x14ac:dyDescent="0.2"/>
    <row r="218" s="17" customFormat="1" x14ac:dyDescent="0.2"/>
    <row r="219" s="17" customFormat="1" x14ac:dyDescent="0.2"/>
    <row r="220" s="17" customFormat="1" x14ac:dyDescent="0.2"/>
    <row r="221" s="17" customFormat="1" x14ac:dyDescent="0.2"/>
    <row r="222" s="17" customFormat="1" x14ac:dyDescent="0.2"/>
    <row r="223" s="17" customFormat="1" x14ac:dyDescent="0.2"/>
    <row r="224" s="17" customFormat="1" x14ac:dyDescent="0.2"/>
    <row r="225" s="17" customFormat="1" x14ac:dyDescent="0.2"/>
    <row r="226" s="17" customFormat="1" x14ac:dyDescent="0.2"/>
    <row r="227" s="17" customFormat="1" x14ac:dyDescent="0.2"/>
    <row r="228" s="17" customFormat="1" x14ac:dyDescent="0.2"/>
    <row r="229" s="17" customFormat="1" x14ac:dyDescent="0.2"/>
    <row r="230" s="17" customFormat="1" x14ac:dyDescent="0.2"/>
    <row r="231" s="17" customFormat="1" x14ac:dyDescent="0.2"/>
    <row r="232" s="17" customFormat="1" x14ac:dyDescent="0.2"/>
    <row r="233" s="17" customFormat="1" x14ac:dyDescent="0.2"/>
    <row r="234" s="17" customFormat="1" x14ac:dyDescent="0.2"/>
    <row r="235" s="17" customFormat="1" x14ac:dyDescent="0.2"/>
    <row r="236" s="17" customFormat="1" x14ac:dyDescent="0.2"/>
    <row r="237" s="17" customFormat="1" x14ac:dyDescent="0.2"/>
    <row r="238" s="17" customFormat="1" x14ac:dyDescent="0.2"/>
    <row r="239" s="17" customFormat="1" x14ac:dyDescent="0.2"/>
    <row r="240" s="17" customFormat="1" x14ac:dyDescent="0.2"/>
    <row r="241" s="17" customFormat="1" x14ac:dyDescent="0.2"/>
    <row r="242" s="17" customFormat="1" x14ac:dyDescent="0.2"/>
    <row r="243" s="17" customFormat="1" x14ac:dyDescent="0.2"/>
    <row r="244" s="17" customFormat="1" x14ac:dyDescent="0.2"/>
    <row r="245" s="17" customFormat="1" x14ac:dyDescent="0.2"/>
    <row r="246" s="17" customFormat="1" x14ac:dyDescent="0.2"/>
    <row r="247" s="17" customFormat="1" x14ac:dyDescent="0.2"/>
    <row r="248" s="17" customFormat="1" x14ac:dyDescent="0.2"/>
    <row r="249" s="17" customFormat="1" x14ac:dyDescent="0.2"/>
    <row r="250" s="17" customFormat="1" x14ac:dyDescent="0.2"/>
    <row r="251" s="17" customFormat="1" x14ac:dyDescent="0.2"/>
    <row r="252" s="17" customFormat="1" x14ac:dyDescent="0.2"/>
    <row r="253" s="17" customFormat="1" x14ac:dyDescent="0.2"/>
    <row r="254" s="17" customFormat="1" x14ac:dyDescent="0.2"/>
    <row r="255" s="17" customFormat="1" x14ac:dyDescent="0.2"/>
    <row r="256" s="17" customFormat="1" x14ac:dyDescent="0.2"/>
    <row r="257" s="17" customFormat="1" x14ac:dyDescent="0.2"/>
    <row r="258" s="17" customFormat="1" x14ac:dyDescent="0.2"/>
    <row r="259" s="17" customFormat="1" x14ac:dyDescent="0.2"/>
    <row r="260" s="17" customFormat="1" x14ac:dyDescent="0.2"/>
    <row r="261" s="17" customFormat="1" x14ac:dyDescent="0.2"/>
    <row r="262" s="17" customFormat="1" x14ac:dyDescent="0.2"/>
    <row r="263" s="17" customFormat="1" x14ac:dyDescent="0.2"/>
    <row r="264" s="17" customFormat="1" x14ac:dyDescent="0.2"/>
    <row r="265" s="17" customFormat="1" x14ac:dyDescent="0.2"/>
    <row r="266" s="17" customFormat="1" x14ac:dyDescent="0.2"/>
    <row r="267" s="17" customFormat="1" x14ac:dyDescent="0.2"/>
    <row r="268" s="17" customFormat="1" x14ac:dyDescent="0.2"/>
    <row r="269" s="17" customFormat="1" x14ac:dyDescent="0.2"/>
    <row r="270" s="17" customFormat="1" x14ac:dyDescent="0.2"/>
    <row r="271" s="17" customFormat="1" x14ac:dyDescent="0.2"/>
    <row r="272" s="17" customFormat="1" x14ac:dyDescent="0.2"/>
    <row r="273" s="17" customFormat="1" x14ac:dyDescent="0.2"/>
    <row r="274" s="17" customFormat="1" x14ac:dyDescent="0.2"/>
    <row r="275" s="17" customFormat="1" x14ac:dyDescent="0.2"/>
    <row r="276" s="17" customFormat="1" x14ac:dyDescent="0.2"/>
    <row r="277" s="17" customFormat="1" x14ac:dyDescent="0.2"/>
    <row r="278" s="17" customFormat="1" x14ac:dyDescent="0.2"/>
    <row r="279" s="17" customFormat="1" x14ac:dyDescent="0.2"/>
    <row r="280" s="17" customFormat="1" x14ac:dyDescent="0.2"/>
    <row r="281" s="17" customFormat="1" x14ac:dyDescent="0.2"/>
    <row r="282" s="17" customFormat="1" x14ac:dyDescent="0.2"/>
    <row r="283" s="17" customFormat="1" x14ac:dyDescent="0.2"/>
    <row r="284" s="17" customFormat="1" x14ac:dyDescent="0.2"/>
    <row r="285" s="17" customFormat="1" x14ac:dyDescent="0.2"/>
    <row r="286" s="17" customFormat="1" x14ac:dyDescent="0.2"/>
    <row r="287" s="17" customFormat="1" x14ac:dyDescent="0.2"/>
    <row r="288" s="17" customFormat="1" x14ac:dyDescent="0.2"/>
    <row r="289" s="17" customFormat="1" x14ac:dyDescent="0.2"/>
    <row r="290" s="17" customFormat="1" x14ac:dyDescent="0.2"/>
    <row r="291" s="17" customFormat="1" x14ac:dyDescent="0.2"/>
    <row r="292" s="17" customFormat="1" x14ac:dyDescent="0.2"/>
    <row r="293" s="17" customFormat="1" x14ac:dyDescent="0.2"/>
    <row r="294" s="17" customFormat="1" x14ac:dyDescent="0.2"/>
    <row r="295" s="17" customFormat="1" x14ac:dyDescent="0.2"/>
    <row r="296" s="17" customFormat="1" x14ac:dyDescent="0.2"/>
    <row r="297" s="17" customFormat="1" x14ac:dyDescent="0.2"/>
    <row r="298" s="17" customFormat="1" x14ac:dyDescent="0.2"/>
    <row r="299" s="17" customFormat="1" x14ac:dyDescent="0.2"/>
    <row r="300" s="17" customFormat="1" x14ac:dyDescent="0.2"/>
    <row r="301" s="17" customFormat="1" x14ac:dyDescent="0.2"/>
    <row r="302" s="17" customFormat="1" x14ac:dyDescent="0.2"/>
    <row r="303" s="17" customFormat="1" x14ac:dyDescent="0.2"/>
    <row r="304" s="17" customFormat="1" x14ac:dyDescent="0.2"/>
    <row r="305" s="17" customFormat="1" x14ac:dyDescent="0.2"/>
    <row r="306" s="17" customFormat="1" x14ac:dyDescent="0.2"/>
    <row r="307" s="17" customFormat="1" x14ac:dyDescent="0.2"/>
    <row r="308" s="17" customFormat="1" x14ac:dyDescent="0.2"/>
    <row r="309" s="17" customFormat="1" x14ac:dyDescent="0.2"/>
    <row r="310" s="17" customFormat="1" x14ac:dyDescent="0.2"/>
    <row r="311" s="17" customFormat="1" x14ac:dyDescent="0.2"/>
    <row r="312" s="17" customFormat="1" x14ac:dyDescent="0.2"/>
    <row r="313" s="17" customFormat="1" x14ac:dyDescent="0.2"/>
    <row r="314" s="17" customFormat="1" x14ac:dyDescent="0.2"/>
    <row r="315" s="17" customFormat="1" x14ac:dyDescent="0.2"/>
    <row r="316" s="17" customFormat="1" x14ac:dyDescent="0.2"/>
    <row r="317" s="17" customFormat="1" x14ac:dyDescent="0.2"/>
    <row r="318" s="17" customFormat="1" x14ac:dyDescent="0.2"/>
    <row r="319" s="17" customFormat="1" x14ac:dyDescent="0.2"/>
    <row r="320" s="17" customFormat="1" x14ac:dyDescent="0.2"/>
    <row r="321" s="17" customFormat="1" x14ac:dyDescent="0.2"/>
    <row r="322" s="17" customFormat="1" x14ac:dyDescent="0.2"/>
    <row r="323" s="17" customFormat="1" x14ac:dyDescent="0.2"/>
    <row r="324" s="17" customFormat="1" x14ac:dyDescent="0.2"/>
    <row r="325" s="17" customFormat="1" x14ac:dyDescent="0.2"/>
    <row r="326" s="17" customFormat="1" x14ac:dyDescent="0.2"/>
    <row r="327" s="17" customFormat="1" x14ac:dyDescent="0.2"/>
    <row r="328" s="17" customFormat="1" x14ac:dyDescent="0.2"/>
    <row r="329" s="17" customFormat="1" x14ac:dyDescent="0.2"/>
    <row r="330" s="17" customFormat="1" x14ac:dyDescent="0.2"/>
    <row r="331" s="17" customFormat="1" x14ac:dyDescent="0.2"/>
    <row r="332" s="17" customFormat="1" x14ac:dyDescent="0.2"/>
    <row r="333" s="17" customFormat="1" x14ac:dyDescent="0.2"/>
    <row r="334" s="17" customFormat="1" x14ac:dyDescent="0.2"/>
    <row r="335" s="17" customFormat="1" x14ac:dyDescent="0.2"/>
    <row r="336" s="17" customFormat="1" x14ac:dyDescent="0.2"/>
  </sheetData>
  <mergeCells count="38">
    <mergeCell ref="A2:G2"/>
    <mergeCell ref="R4:S4"/>
    <mergeCell ref="H4:I4"/>
    <mergeCell ref="J4:K4"/>
    <mergeCell ref="L4:M4"/>
    <mergeCell ref="F4:G4"/>
    <mergeCell ref="B4:C4"/>
    <mergeCell ref="D4:E4"/>
    <mergeCell ref="Z4:AA4"/>
    <mergeCell ref="AD4:AE4"/>
    <mergeCell ref="N4:O4"/>
    <mergeCell ref="V4:W4"/>
    <mergeCell ref="X4:Y4"/>
    <mergeCell ref="AB4:AC4"/>
    <mergeCell ref="P4:Q4"/>
    <mergeCell ref="T4:U4"/>
    <mergeCell ref="BH4:BI4"/>
    <mergeCell ref="AR4:AS4"/>
    <mergeCell ref="AJ4:AK4"/>
    <mergeCell ref="BB4:BC4"/>
    <mergeCell ref="BF4:BG4"/>
    <mergeCell ref="BD4:BE4"/>
    <mergeCell ref="AF4:AG4"/>
    <mergeCell ref="AZ4:BA4"/>
    <mergeCell ref="AP4:AQ4"/>
    <mergeCell ref="AL4:AM4"/>
    <mergeCell ref="AT4:AU4"/>
    <mergeCell ref="AX4:AY4"/>
    <mergeCell ref="AV4:AW4"/>
    <mergeCell ref="AN4:AO4"/>
    <mergeCell ref="AH4:AI4"/>
    <mergeCell ref="BV4:BW4"/>
    <mergeCell ref="BJ4:BK4"/>
    <mergeCell ref="BL4:BM4"/>
    <mergeCell ref="BN4:BO4"/>
    <mergeCell ref="BP4:BQ4"/>
    <mergeCell ref="BT4:BU4"/>
    <mergeCell ref="BR4:BS4"/>
  </mergeCells>
  <phoneticPr fontId="0" type="noConversion"/>
  <pageMargins left="1.5748031496062993" right="0.78740157480314965" top="0.9055118110236221" bottom="0.39370078740157483" header="0.15748031496062992" footer="0"/>
  <pageSetup paperSize="9" scale="85" fitToWidth="2" fitToHeight="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R522"/>
  <sheetViews>
    <sheetView workbookViewId="0"/>
  </sheetViews>
  <sheetFormatPr baseColWidth="10" defaultColWidth="11.42578125" defaultRowHeight="12" x14ac:dyDescent="0.2"/>
  <cols>
    <col min="1" max="1" width="80.7109375" style="197" bestFit="1" customWidth="1"/>
    <col min="2" max="2" width="15.7109375" style="88" customWidth="1"/>
    <col min="3" max="3" width="14" style="88" bestFit="1" customWidth="1"/>
    <col min="4" max="7" width="16.42578125" style="88" customWidth="1"/>
    <col min="8" max="200" width="11.42578125" style="24"/>
    <col min="201" max="16384" width="11.42578125" style="88"/>
  </cols>
  <sheetData>
    <row r="1" spans="1:7" s="24" customFormat="1" x14ac:dyDescent="0.2">
      <c r="A1" s="219" t="s">
        <v>70</v>
      </c>
    </row>
    <row r="2" spans="1:7" x14ac:dyDescent="0.2">
      <c r="A2" s="237" t="s">
        <v>9</v>
      </c>
      <c r="B2" s="238"/>
      <c r="C2" s="238"/>
      <c r="D2" s="238"/>
      <c r="E2" s="238"/>
      <c r="F2" s="238"/>
      <c r="G2" s="239"/>
    </row>
    <row r="3" spans="1:7" s="24" customFormat="1" x14ac:dyDescent="0.2">
      <c r="A3" s="220"/>
    </row>
    <row r="4" spans="1:7" ht="24" customHeight="1" x14ac:dyDescent="0.2">
      <c r="A4" s="236" t="s">
        <v>36</v>
      </c>
      <c r="B4" s="227" t="s">
        <v>30</v>
      </c>
      <c r="C4" s="227"/>
      <c r="D4" s="227" t="s">
        <v>31</v>
      </c>
      <c r="E4" s="227"/>
      <c r="F4" s="227" t="s">
        <v>32</v>
      </c>
      <c r="G4" s="227"/>
    </row>
    <row r="5" spans="1:7" x14ac:dyDescent="0.2">
      <c r="A5" s="236"/>
      <c r="B5" s="1">
        <v>2021</v>
      </c>
      <c r="C5" s="1">
        <v>2022</v>
      </c>
      <c r="D5" s="1">
        <v>2021</v>
      </c>
      <c r="E5" s="1">
        <v>2022</v>
      </c>
      <c r="F5" s="1">
        <v>2021</v>
      </c>
      <c r="G5" s="1">
        <v>2022</v>
      </c>
    </row>
    <row r="6" spans="1:7" x14ac:dyDescent="0.2">
      <c r="A6" s="182" t="s">
        <v>71</v>
      </c>
      <c r="B6" s="183"/>
      <c r="C6" s="183"/>
      <c r="D6" s="183"/>
      <c r="E6" s="183"/>
      <c r="F6" s="183"/>
      <c r="G6" s="183"/>
    </row>
    <row r="7" spans="1:7" x14ac:dyDescent="0.2">
      <c r="A7" s="103" t="s">
        <v>72</v>
      </c>
      <c r="B7" s="184">
        <f>'2'!B8/'2'!B12</f>
        <v>0.46226361356779377</v>
      </c>
      <c r="C7" s="184">
        <f>'2'!C8/'2'!C12</f>
        <v>0.48735034629471297</v>
      </c>
      <c r="D7" s="184">
        <f>'2'!D8/'2'!D12</f>
        <v>1.1463156718726926</v>
      </c>
      <c r="E7" s="184">
        <f>'2'!E8/'2'!E12</f>
        <v>0.94630208119077786</v>
      </c>
      <c r="F7" s="184">
        <f>'2'!F8/'2'!F12</f>
        <v>1.3908204489222784</v>
      </c>
      <c r="G7" s="184">
        <f>'2'!G8/'2'!G12</f>
        <v>1.4397868525610065</v>
      </c>
    </row>
    <row r="8" spans="1:7" x14ac:dyDescent="0.2">
      <c r="A8" s="64" t="s">
        <v>73</v>
      </c>
      <c r="B8" s="185"/>
      <c r="C8" s="185"/>
      <c r="D8" s="185"/>
      <c r="E8" s="185"/>
      <c r="F8" s="185"/>
      <c r="G8" s="185"/>
    </row>
    <row r="9" spans="1:7" x14ac:dyDescent="0.2">
      <c r="A9" s="104" t="s">
        <v>74</v>
      </c>
      <c r="B9" s="186">
        <f>+'2'!B12/'2'!B14</f>
        <v>0.55788745205158763</v>
      </c>
      <c r="C9" s="186">
        <f>+'2'!C12/'2'!C14</f>
        <v>0.52721838797180121</v>
      </c>
      <c r="D9" s="186">
        <f>+'2'!D12/'2'!D14</f>
        <v>0.70173559962999943</v>
      </c>
      <c r="E9" s="186">
        <f>+'2'!E12/'2'!E14</f>
        <v>0.67965297035198291</v>
      </c>
      <c r="F9" s="186">
        <f>+'2'!F12/'2'!F14</f>
        <v>0.45011146315167488</v>
      </c>
      <c r="G9" s="186">
        <f>+'2'!G12/'2'!G14</f>
        <v>0.51064913210498963</v>
      </c>
    </row>
    <row r="10" spans="1:7" x14ac:dyDescent="0.2">
      <c r="A10" s="104" t="s">
        <v>75</v>
      </c>
      <c r="B10" s="184">
        <f>'2'!B14/'2'!B26</f>
        <v>-12.068066900707374</v>
      </c>
      <c r="C10" s="184">
        <f>'2'!C14/'2'!C26</f>
        <v>-14.193772506949173</v>
      </c>
      <c r="D10" s="184">
        <f>'2'!D14/'2'!D26</f>
        <v>1.6448541234903722</v>
      </c>
      <c r="E10" s="184">
        <f>'2'!E14/'2'!E26</f>
        <v>2.5348333546918611</v>
      </c>
      <c r="F10" s="184">
        <f>'2'!F14/'2'!F26</f>
        <v>2.1832146134470394</v>
      </c>
      <c r="G10" s="184">
        <f>'2'!G14/'2'!G26</f>
        <v>2.4625685547209843</v>
      </c>
    </row>
    <row r="11" spans="1:7" x14ac:dyDescent="0.2">
      <c r="A11" s="105" t="s">
        <v>76</v>
      </c>
      <c r="B11" s="184">
        <f>'2'!B13/'2'!B19</f>
        <v>7.4024062750345854</v>
      </c>
      <c r="C11" s="184">
        <f>'2'!C13/'2'!C19</f>
        <v>5.2513751002734743</v>
      </c>
      <c r="D11" s="184">
        <f>'2'!D13/'2'!D19</f>
        <v>4.4684884615321101</v>
      </c>
      <c r="E11" s="184">
        <f>'2'!E13/'2'!E19</f>
        <v>5.5163109447569569</v>
      </c>
      <c r="F11" s="184">
        <f>'2'!F13/'2'!F19</f>
        <v>81.560533953578101</v>
      </c>
      <c r="G11" s="184">
        <f>'2'!G13/'2'!G19</f>
        <v>48.872546003193968</v>
      </c>
    </row>
    <row r="12" spans="1:7" x14ac:dyDescent="0.2">
      <c r="A12" s="104" t="s">
        <v>77</v>
      </c>
      <c r="B12" s="184">
        <f>'2'!B14/'2'!B10</f>
        <v>1.0903500140513325</v>
      </c>
      <c r="C12" s="184">
        <f>'2'!C14/'2'!C10</f>
        <v>1.0757932774912513</v>
      </c>
      <c r="D12" s="184">
        <f>'2'!D14/'2'!D10</f>
        <v>0.62190731385959552</v>
      </c>
      <c r="E12" s="184">
        <f>'2'!E14/'2'!E10</f>
        <v>0.71710123231900647</v>
      </c>
      <c r="F12" s="184">
        <f>'2'!F14/'2'!F10</f>
        <v>0.68585215845150949</v>
      </c>
      <c r="G12" s="184">
        <f>'2'!G14/'2'!G10</f>
        <v>0.71119705380661247</v>
      </c>
    </row>
    <row r="13" spans="1:7" x14ac:dyDescent="0.2">
      <c r="A13" s="64" t="s">
        <v>78</v>
      </c>
      <c r="B13" s="185"/>
      <c r="C13" s="185"/>
      <c r="D13" s="185"/>
      <c r="E13" s="185"/>
      <c r="F13" s="185"/>
      <c r="G13" s="185"/>
    </row>
    <row r="14" spans="1:7" x14ac:dyDescent="0.2">
      <c r="A14" s="104" t="s">
        <v>79</v>
      </c>
      <c r="B14" s="184">
        <f>'2'!B10/'2'!B14</f>
        <v>0.91713668740588561</v>
      </c>
      <c r="C14" s="184">
        <f>'2'!C10/'2'!C14</f>
        <v>0.92954661543526174</v>
      </c>
      <c r="D14" s="184">
        <f>'2'!D10/'2'!D14</f>
        <v>1.6079566483853323</v>
      </c>
      <c r="E14" s="184">
        <f>'2'!E10/'2'!E14</f>
        <v>1.3945032513277631</v>
      </c>
      <c r="F14" s="184">
        <f>'2'!F10/'2'!F14</f>
        <v>1.4580401733483808</v>
      </c>
      <c r="G14" s="184">
        <f>'2'!G10/'2'!G14</f>
        <v>1.406080065500269</v>
      </c>
    </row>
    <row r="15" spans="1:7" x14ac:dyDescent="0.2">
      <c r="A15" s="104" t="s">
        <v>80</v>
      </c>
      <c r="B15" s="184">
        <f>'2'!B10/'2'!B12</f>
        <v>1.6439457170674605</v>
      </c>
      <c r="C15" s="184">
        <f>'2'!C10/'2'!C12</f>
        <v>1.763114938026364</v>
      </c>
      <c r="D15" s="184">
        <f>'2'!D10/'2'!D12</f>
        <v>2.2913995659236206</v>
      </c>
      <c r="E15" s="184">
        <f>'2'!E10/'2'!E12</f>
        <v>2.0517871798685277</v>
      </c>
      <c r="F15" s="184">
        <f>'2'!F10/'2'!F12</f>
        <v>3.2392869160434206</v>
      </c>
      <c r="G15" s="184">
        <f>'2'!G10/'2'!G12</f>
        <v>2.7535150401688697</v>
      </c>
    </row>
    <row r="16" spans="1:7" x14ac:dyDescent="0.2">
      <c r="A16" s="64" t="s">
        <v>81</v>
      </c>
      <c r="B16" s="185"/>
      <c r="C16" s="185"/>
      <c r="D16" s="185"/>
      <c r="E16" s="185"/>
      <c r="F16" s="185"/>
      <c r="G16" s="185"/>
    </row>
    <row r="17" spans="1:7" x14ac:dyDescent="0.2">
      <c r="A17" s="104" t="s">
        <v>82</v>
      </c>
      <c r="B17" s="184">
        <f>'2'!B9/'2'!B13</f>
        <v>1.4911262322582011</v>
      </c>
      <c r="C17" s="184">
        <f>'2'!C9/'2'!C13</f>
        <v>1.4226580187812947</v>
      </c>
      <c r="D17" s="184">
        <f>'2'!D9/'2'!D13</f>
        <v>2.6940732183313663</v>
      </c>
      <c r="E17" s="184">
        <f>'2'!E9/'2'!E13</f>
        <v>2.3454134468539731</v>
      </c>
      <c r="F17" s="184">
        <f>'2'!F9/'2'!F13</f>
        <v>1.5130629033865426</v>
      </c>
      <c r="G17" s="184">
        <f>'2'!G9/'2'!G13</f>
        <v>1.3709062409750283</v>
      </c>
    </row>
    <row r="18" spans="1:7" x14ac:dyDescent="0.2">
      <c r="A18" s="104" t="s">
        <v>83</v>
      </c>
      <c r="B18" s="184">
        <f>'2'!B10/'2'!B14</f>
        <v>0.91713668740588561</v>
      </c>
      <c r="C18" s="184">
        <f>'2'!C10/'2'!C14</f>
        <v>0.92954661543526174</v>
      </c>
      <c r="D18" s="184">
        <f>'2'!D10/'2'!D14</f>
        <v>1.6079566483853323</v>
      </c>
      <c r="E18" s="184">
        <f>'2'!E10/'2'!E14</f>
        <v>1.3945032513277631</v>
      </c>
      <c r="F18" s="184">
        <f>'2'!F10/'2'!F14</f>
        <v>1.4580401733483808</v>
      </c>
      <c r="G18" s="184">
        <f>'2'!G10/'2'!G14</f>
        <v>1.406080065500269</v>
      </c>
    </row>
    <row r="19" spans="1:7" x14ac:dyDescent="0.2">
      <c r="A19" s="64" t="s">
        <v>84</v>
      </c>
      <c r="B19" s="185"/>
      <c r="C19" s="185"/>
      <c r="D19" s="185"/>
      <c r="E19" s="185"/>
      <c r="F19" s="185"/>
      <c r="G19" s="185"/>
    </row>
    <row r="20" spans="1:7" x14ac:dyDescent="0.2">
      <c r="A20" s="104" t="s">
        <v>85</v>
      </c>
      <c r="B20" s="184">
        <f>'2'!B19/'2'!B10</f>
        <v>6.5121719202796607E-2</v>
      </c>
      <c r="C20" s="184">
        <f>'2'!C19/'2'!C10</f>
        <v>9.6853732637557394E-2</v>
      </c>
      <c r="D20" s="184">
        <f>'2'!D19/'2'!D10</f>
        <v>4.1511310513813016E-2</v>
      </c>
      <c r="E20" s="184">
        <f>'2'!E19/'2'!E10</f>
        <v>4.1643999410270298E-2</v>
      </c>
      <c r="F20" s="184">
        <f>'2'!F19/'2'!F10</f>
        <v>4.6240776221477984E-3</v>
      </c>
      <c r="G20" s="184">
        <f>'2'!G19/'2'!G10</f>
        <v>7.1210715214610623E-3</v>
      </c>
    </row>
    <row r="21" spans="1:7" x14ac:dyDescent="0.2">
      <c r="A21" s="64" t="s">
        <v>86</v>
      </c>
      <c r="B21" s="185"/>
      <c r="C21" s="185"/>
      <c r="D21" s="185"/>
      <c r="E21" s="185"/>
      <c r="F21" s="185"/>
      <c r="G21" s="185"/>
    </row>
    <row r="22" spans="1:7" x14ac:dyDescent="0.2">
      <c r="A22" s="104" t="s">
        <v>87</v>
      </c>
      <c r="B22" s="184">
        <f>'2'!B24/'2'!B21</f>
        <v>0</v>
      </c>
      <c r="C22" s="184">
        <f>'2'!C24/'2'!C21</f>
        <v>0</v>
      </c>
      <c r="D22" s="184">
        <f>'2'!D24/'2'!D21</f>
        <v>9.7430179300452058E-2</v>
      </c>
      <c r="E22" s="184">
        <f>'2'!E24/'2'!E21</f>
        <v>-1.0689798021774112E-2</v>
      </c>
      <c r="F22" s="184">
        <f>'2'!F24/'2'!F21</f>
        <v>2.2727940536899736</v>
      </c>
      <c r="G22" s="184">
        <f>'2'!G24/'2'!G21</f>
        <v>2.2161427927787529</v>
      </c>
    </row>
    <row r="23" spans="1:7" x14ac:dyDescent="0.2">
      <c r="A23" s="104" t="s">
        <v>88</v>
      </c>
      <c r="B23" s="184">
        <f>+'2'!B25/'2'!B21</f>
        <v>-5465.8327210652114</v>
      </c>
      <c r="C23" s="184">
        <f>+'2'!C25/'2'!C21</f>
        <v>2.2881984415377232</v>
      </c>
      <c r="D23" s="184">
        <f>+'2'!D25/'2'!D21</f>
        <v>-1.6862888375738697E-2</v>
      </c>
      <c r="E23" s="184">
        <f>+'2'!E25/'2'!E21</f>
        <v>2.1642104714987868E-3</v>
      </c>
      <c r="F23" s="184">
        <f>+'2'!F25/'2'!F21</f>
        <v>0.14834989829265258</v>
      </c>
      <c r="G23" s="184">
        <f>+'2'!G25/'2'!G21</f>
        <v>0.14325389213559478</v>
      </c>
    </row>
    <row r="24" spans="1:7" x14ac:dyDescent="0.2">
      <c r="A24" s="64" t="s">
        <v>89</v>
      </c>
      <c r="B24" s="187"/>
      <c r="C24" s="187"/>
      <c r="D24" s="187"/>
      <c r="E24" s="187"/>
      <c r="F24" s="187"/>
      <c r="G24" s="187"/>
    </row>
    <row r="25" spans="1:7" ht="17.25" customHeight="1" x14ac:dyDescent="0.2">
      <c r="A25" s="105" t="s">
        <v>90</v>
      </c>
      <c r="B25" s="101">
        <f>'2'!B8-'2'!B12</f>
        <v>-6777816399.9170008</v>
      </c>
      <c r="C25" s="101">
        <f>'2'!C8-'2'!C12</f>
        <v>-5675387058.7640009</v>
      </c>
      <c r="D25" s="101">
        <f>'2'!D8-'2'!D12</f>
        <v>13403945292</v>
      </c>
      <c r="E25" s="101">
        <f>'2'!E8-'2'!E12</f>
        <v>-5476231283</v>
      </c>
      <c r="F25" s="101">
        <f>'2'!F8-'2'!F12</f>
        <v>78736912880.679993</v>
      </c>
      <c r="G25" s="101">
        <f>'2'!G8-'2'!G12</f>
        <v>112541805112.92999</v>
      </c>
    </row>
    <row r="26" spans="1:7" s="24" customFormat="1" x14ac:dyDescent="0.2">
      <c r="A26" s="24" t="s">
        <v>91</v>
      </c>
      <c r="B26" s="188"/>
      <c r="C26" s="188"/>
      <c r="D26" s="188"/>
      <c r="E26" s="188"/>
      <c r="F26" s="188"/>
      <c r="G26" s="188"/>
    </row>
    <row r="27" spans="1:7" s="24" customFormat="1" x14ac:dyDescent="0.2">
      <c r="A27" s="14"/>
      <c r="B27" s="188"/>
      <c r="C27" s="188"/>
      <c r="D27" s="188"/>
      <c r="E27" s="188"/>
      <c r="F27" s="188"/>
      <c r="G27" s="188"/>
    </row>
    <row r="28" spans="1:7" s="24" customFormat="1" x14ac:dyDescent="0.2">
      <c r="A28" s="34"/>
      <c r="B28" s="188"/>
      <c r="C28" s="188"/>
      <c r="D28" s="188"/>
      <c r="E28" s="188"/>
      <c r="F28" s="188"/>
      <c r="G28" s="188"/>
    </row>
    <row r="29" spans="1:7" s="24" customFormat="1" x14ac:dyDescent="0.2">
      <c r="A29" s="34"/>
      <c r="B29" s="188"/>
      <c r="C29" s="188"/>
      <c r="D29" s="188"/>
      <c r="E29" s="188"/>
      <c r="F29" s="188"/>
      <c r="G29" s="188"/>
    </row>
    <row r="30" spans="1:7" s="24" customFormat="1" x14ac:dyDescent="0.2">
      <c r="A30" s="34"/>
      <c r="B30" s="188"/>
      <c r="C30" s="188"/>
      <c r="D30" s="188"/>
      <c r="E30" s="188"/>
      <c r="F30" s="188"/>
      <c r="G30" s="188"/>
    </row>
    <row r="31" spans="1:7" s="24" customFormat="1" x14ac:dyDescent="0.2">
      <c r="A31" s="34"/>
      <c r="B31" s="188"/>
      <c r="C31" s="188"/>
      <c r="D31" s="188"/>
      <c r="E31" s="188"/>
      <c r="F31" s="188"/>
      <c r="G31" s="188"/>
    </row>
    <row r="32" spans="1:7" s="24" customFormat="1" x14ac:dyDescent="0.2">
      <c r="A32" s="34"/>
      <c r="B32" s="188"/>
      <c r="C32" s="188"/>
      <c r="D32" s="188"/>
      <c r="E32" s="188"/>
      <c r="F32" s="188"/>
      <c r="G32" s="188"/>
    </row>
    <row r="33" spans="1:7" s="24" customFormat="1" x14ac:dyDescent="0.2">
      <c r="A33" s="34"/>
      <c r="B33" s="188"/>
      <c r="C33" s="188"/>
      <c r="D33" s="188"/>
      <c r="E33" s="188"/>
      <c r="F33" s="188"/>
      <c r="G33" s="188"/>
    </row>
    <row r="34" spans="1:7" s="24" customFormat="1" x14ac:dyDescent="0.2">
      <c r="A34" s="34"/>
      <c r="B34" s="188"/>
      <c r="C34" s="188"/>
      <c r="D34" s="188"/>
      <c r="E34" s="188"/>
      <c r="F34" s="188"/>
      <c r="G34" s="188"/>
    </row>
    <row r="35" spans="1:7" s="24" customFormat="1" x14ac:dyDescent="0.2">
      <c r="A35" s="34"/>
      <c r="B35" s="188"/>
      <c r="C35" s="188"/>
      <c r="D35" s="188"/>
      <c r="E35" s="188"/>
      <c r="F35" s="188"/>
      <c r="G35" s="188"/>
    </row>
    <row r="36" spans="1:7" s="24" customFormat="1" x14ac:dyDescent="0.2">
      <c r="A36" s="34"/>
      <c r="B36" s="188"/>
      <c r="C36" s="188"/>
      <c r="D36" s="188"/>
      <c r="E36" s="188"/>
      <c r="F36" s="188"/>
      <c r="G36" s="188"/>
    </row>
    <row r="37" spans="1:7" s="24" customFormat="1" x14ac:dyDescent="0.2">
      <c r="A37" s="34"/>
      <c r="B37" s="188"/>
      <c r="C37" s="188"/>
      <c r="D37" s="188"/>
      <c r="E37" s="188"/>
      <c r="F37" s="188"/>
      <c r="G37" s="188"/>
    </row>
    <row r="38" spans="1:7" s="24" customFormat="1" x14ac:dyDescent="0.2">
      <c r="A38" s="34"/>
      <c r="B38" s="188"/>
      <c r="C38" s="188"/>
      <c r="D38" s="188"/>
      <c r="E38" s="188"/>
      <c r="F38" s="188"/>
      <c r="G38" s="188"/>
    </row>
    <row r="39" spans="1:7" s="24" customFormat="1" x14ac:dyDescent="0.2">
      <c r="A39" s="34"/>
      <c r="B39" s="188"/>
      <c r="C39" s="188"/>
      <c r="D39" s="188"/>
      <c r="E39" s="188"/>
      <c r="F39" s="188"/>
      <c r="G39" s="188"/>
    </row>
    <row r="40" spans="1:7" s="24" customFormat="1" x14ac:dyDescent="0.2">
      <c r="A40" s="34"/>
      <c r="B40" s="188"/>
      <c r="C40" s="188"/>
      <c r="D40" s="188"/>
      <c r="E40" s="188"/>
      <c r="F40" s="188"/>
      <c r="G40" s="188"/>
    </row>
    <row r="41" spans="1:7" s="24" customFormat="1" x14ac:dyDescent="0.2">
      <c r="A41" s="34"/>
      <c r="B41" s="188"/>
      <c r="C41" s="188"/>
      <c r="D41" s="188"/>
      <c r="E41" s="188"/>
      <c r="F41" s="188"/>
      <c r="G41" s="188"/>
    </row>
    <row r="42" spans="1:7" s="24" customFormat="1" x14ac:dyDescent="0.2">
      <c r="A42" s="34"/>
      <c r="B42" s="188"/>
      <c r="C42" s="188"/>
      <c r="D42" s="188"/>
      <c r="E42" s="188"/>
      <c r="F42" s="188"/>
      <c r="G42" s="188"/>
    </row>
    <row r="43" spans="1:7" s="24" customFormat="1" x14ac:dyDescent="0.2">
      <c r="A43" s="34"/>
      <c r="B43" s="188"/>
      <c r="C43" s="188"/>
      <c r="D43" s="188"/>
      <c r="E43" s="188"/>
      <c r="F43" s="188"/>
      <c r="G43" s="188"/>
    </row>
    <row r="44" spans="1:7" s="24" customFormat="1" x14ac:dyDescent="0.2">
      <c r="A44" s="34"/>
      <c r="B44" s="188"/>
      <c r="C44" s="188"/>
      <c r="D44" s="188"/>
      <c r="E44" s="188"/>
      <c r="F44" s="188"/>
      <c r="G44" s="188"/>
    </row>
    <row r="45" spans="1:7" s="24" customFormat="1" x14ac:dyDescent="0.2">
      <c r="A45" s="34"/>
      <c r="B45" s="188"/>
      <c r="C45" s="188"/>
      <c r="D45" s="188"/>
      <c r="E45" s="188"/>
      <c r="F45" s="188"/>
      <c r="G45" s="188"/>
    </row>
    <row r="46" spans="1:7" s="24" customFormat="1" x14ac:dyDescent="0.2">
      <c r="A46" s="34"/>
      <c r="B46" s="188"/>
      <c r="C46" s="188"/>
      <c r="D46" s="188"/>
      <c r="E46" s="188"/>
      <c r="F46" s="188"/>
      <c r="G46" s="188"/>
    </row>
    <row r="47" spans="1:7" s="24" customFormat="1" x14ac:dyDescent="0.2">
      <c r="A47" s="34"/>
      <c r="B47" s="188"/>
      <c r="C47" s="188"/>
      <c r="D47" s="188"/>
      <c r="E47" s="188"/>
      <c r="F47" s="188"/>
      <c r="G47" s="188"/>
    </row>
    <row r="48" spans="1:7" s="24" customFormat="1" x14ac:dyDescent="0.2">
      <c r="A48" s="34"/>
      <c r="B48" s="188"/>
      <c r="C48" s="188"/>
      <c r="D48" s="188"/>
      <c r="E48" s="188"/>
      <c r="F48" s="188"/>
      <c r="G48" s="188"/>
    </row>
    <row r="49" spans="1:7" s="24" customFormat="1" x14ac:dyDescent="0.2">
      <c r="A49" s="34"/>
      <c r="B49" s="188"/>
      <c r="C49" s="188"/>
      <c r="D49" s="188"/>
      <c r="E49" s="188"/>
      <c r="F49" s="188"/>
      <c r="G49" s="188"/>
    </row>
    <row r="50" spans="1:7" s="24" customFormat="1" x14ac:dyDescent="0.2">
      <c r="A50" s="34"/>
      <c r="B50" s="188"/>
      <c r="C50" s="188"/>
      <c r="D50" s="188"/>
      <c r="E50" s="188"/>
      <c r="F50" s="188"/>
      <c r="G50" s="188"/>
    </row>
    <row r="51" spans="1:7" s="24" customFormat="1" x14ac:dyDescent="0.2">
      <c r="A51" s="34"/>
      <c r="B51" s="188"/>
      <c r="C51" s="188"/>
      <c r="D51" s="188"/>
      <c r="E51" s="188"/>
      <c r="F51" s="188"/>
      <c r="G51" s="188"/>
    </row>
    <row r="52" spans="1:7" s="24" customFormat="1" x14ac:dyDescent="0.2">
      <c r="A52" s="34"/>
      <c r="B52" s="188"/>
      <c r="C52" s="188"/>
      <c r="D52" s="188"/>
      <c r="E52" s="188"/>
      <c r="F52" s="188"/>
      <c r="G52" s="188"/>
    </row>
    <row r="53" spans="1:7" s="24" customFormat="1" x14ac:dyDescent="0.2">
      <c r="A53" s="34"/>
      <c r="B53" s="188"/>
      <c r="C53" s="188"/>
      <c r="D53" s="188"/>
      <c r="E53" s="188"/>
      <c r="F53" s="188"/>
      <c r="G53" s="188"/>
    </row>
    <row r="54" spans="1:7" s="24" customFormat="1" x14ac:dyDescent="0.2">
      <c r="A54" s="34"/>
      <c r="B54" s="188"/>
      <c r="C54" s="188"/>
      <c r="D54" s="188"/>
      <c r="E54" s="188"/>
      <c r="F54" s="188"/>
      <c r="G54" s="188"/>
    </row>
    <row r="55" spans="1:7" s="24" customFormat="1" x14ac:dyDescent="0.2">
      <c r="A55" s="34"/>
      <c r="B55" s="188"/>
      <c r="C55" s="188"/>
      <c r="D55" s="188"/>
      <c r="E55" s="188"/>
      <c r="F55" s="188"/>
      <c r="G55" s="188"/>
    </row>
    <row r="56" spans="1:7" s="24" customFormat="1" x14ac:dyDescent="0.2">
      <c r="A56" s="34"/>
      <c r="B56" s="188"/>
      <c r="C56" s="188"/>
      <c r="D56" s="188"/>
      <c r="E56" s="188"/>
      <c r="F56" s="188"/>
      <c r="G56" s="188"/>
    </row>
    <row r="57" spans="1:7" s="24" customFormat="1" x14ac:dyDescent="0.2">
      <c r="A57" s="34"/>
      <c r="B57" s="188"/>
      <c r="C57" s="188"/>
      <c r="D57" s="188"/>
      <c r="E57" s="188"/>
      <c r="F57" s="188"/>
      <c r="G57" s="188"/>
    </row>
    <row r="58" spans="1:7" s="24" customFormat="1" x14ac:dyDescent="0.2">
      <c r="A58" s="34"/>
      <c r="B58" s="188"/>
      <c r="C58" s="188"/>
      <c r="D58" s="188"/>
      <c r="E58" s="188"/>
      <c r="F58" s="188"/>
      <c r="G58" s="188"/>
    </row>
    <row r="59" spans="1:7" s="24" customFormat="1" x14ac:dyDescent="0.2">
      <c r="A59" s="34"/>
      <c r="B59" s="188"/>
      <c r="C59" s="188"/>
      <c r="D59" s="188"/>
      <c r="E59" s="188"/>
      <c r="F59" s="188"/>
      <c r="G59" s="188"/>
    </row>
    <row r="60" spans="1:7" s="24" customFormat="1" x14ac:dyDescent="0.2">
      <c r="A60" s="34"/>
      <c r="B60" s="188"/>
      <c r="C60" s="188"/>
      <c r="D60" s="188"/>
      <c r="E60" s="188"/>
      <c r="F60" s="188"/>
      <c r="G60" s="188"/>
    </row>
    <row r="61" spans="1:7" s="24" customFormat="1" x14ac:dyDescent="0.2">
      <c r="A61" s="34"/>
      <c r="B61" s="188"/>
      <c r="C61" s="188"/>
      <c r="D61" s="188"/>
      <c r="E61" s="188"/>
      <c r="F61" s="188"/>
      <c r="G61" s="188"/>
    </row>
    <row r="62" spans="1:7" s="24" customFormat="1" x14ac:dyDescent="0.2">
      <c r="A62" s="34"/>
      <c r="B62" s="188"/>
      <c r="C62" s="188"/>
      <c r="D62" s="188"/>
      <c r="E62" s="188"/>
      <c r="F62" s="188"/>
      <c r="G62" s="188"/>
    </row>
    <row r="63" spans="1:7" s="24" customFormat="1" x14ac:dyDescent="0.2">
      <c r="A63" s="34"/>
      <c r="B63" s="188"/>
      <c r="C63" s="188"/>
      <c r="D63" s="188"/>
      <c r="E63" s="188"/>
      <c r="F63" s="188"/>
      <c r="G63" s="188"/>
    </row>
    <row r="64" spans="1:7" s="24" customFormat="1" ht="12.75" customHeight="1" x14ac:dyDescent="0.2">
      <c r="A64" s="34"/>
      <c r="B64" s="188"/>
      <c r="C64" s="188"/>
      <c r="D64" s="188"/>
      <c r="E64" s="188"/>
      <c r="F64" s="188"/>
      <c r="G64" s="188"/>
    </row>
    <row r="65" spans="1:7" s="24" customFormat="1" ht="12.75" customHeight="1" x14ac:dyDescent="0.2">
      <c r="A65" s="34"/>
      <c r="B65" s="188"/>
      <c r="C65" s="188"/>
      <c r="D65" s="188"/>
      <c r="E65" s="188"/>
      <c r="F65" s="188"/>
      <c r="G65" s="188"/>
    </row>
    <row r="66" spans="1:7" s="24" customFormat="1" ht="12.75" customHeight="1" x14ac:dyDescent="0.2">
      <c r="A66" s="34"/>
      <c r="B66" s="188"/>
      <c r="C66" s="188"/>
      <c r="D66" s="188"/>
      <c r="E66" s="188"/>
      <c r="F66" s="188"/>
      <c r="G66" s="188"/>
    </row>
    <row r="67" spans="1:7" s="24" customFormat="1" ht="20.100000000000001" customHeight="1" x14ac:dyDescent="0.2">
      <c r="A67" s="34"/>
      <c r="B67" s="188"/>
      <c r="C67" s="188"/>
      <c r="D67" s="188"/>
      <c r="E67" s="188"/>
      <c r="F67" s="188"/>
      <c r="G67" s="188"/>
    </row>
    <row r="68" spans="1:7" s="24" customFormat="1" x14ac:dyDescent="0.2">
      <c r="A68" s="34"/>
      <c r="B68" s="188"/>
      <c r="C68" s="188"/>
      <c r="D68" s="188"/>
      <c r="E68" s="188"/>
      <c r="F68" s="188"/>
      <c r="G68" s="188"/>
    </row>
    <row r="69" spans="1:7" s="24" customFormat="1" ht="12.75" customHeight="1" x14ac:dyDescent="0.2">
      <c r="A69" s="34"/>
      <c r="B69" s="188"/>
      <c r="C69" s="188"/>
      <c r="D69" s="188"/>
      <c r="E69" s="188"/>
      <c r="F69" s="188"/>
      <c r="G69" s="188"/>
    </row>
    <row r="70" spans="1:7" s="24" customFormat="1" ht="42.6" customHeight="1" x14ac:dyDescent="0.2">
      <c r="A70" s="34"/>
      <c r="B70" s="188"/>
      <c r="C70" s="188"/>
      <c r="D70" s="188"/>
      <c r="E70" s="188"/>
      <c r="F70" s="188"/>
      <c r="G70" s="188"/>
    </row>
    <row r="71" spans="1:7" s="24" customFormat="1" x14ac:dyDescent="0.2">
      <c r="A71" s="34"/>
      <c r="B71" s="188"/>
      <c r="C71" s="188"/>
      <c r="D71" s="188"/>
      <c r="E71" s="188"/>
      <c r="F71" s="188"/>
      <c r="G71" s="188"/>
    </row>
    <row r="72" spans="1:7" s="24" customFormat="1" x14ac:dyDescent="0.2">
      <c r="A72" s="34"/>
      <c r="B72" s="188"/>
      <c r="C72" s="188"/>
      <c r="D72" s="188"/>
      <c r="E72" s="188"/>
      <c r="F72" s="188"/>
      <c r="G72" s="188"/>
    </row>
    <row r="73" spans="1:7" s="24" customFormat="1" x14ac:dyDescent="0.2">
      <c r="A73" s="34"/>
      <c r="B73" s="188"/>
      <c r="C73" s="188"/>
      <c r="D73" s="188"/>
      <c r="E73" s="188"/>
      <c r="F73" s="188"/>
      <c r="G73" s="188"/>
    </row>
    <row r="74" spans="1:7" s="24" customFormat="1" x14ac:dyDescent="0.2">
      <c r="A74" s="34"/>
      <c r="B74" s="188"/>
      <c r="C74" s="188"/>
      <c r="D74" s="188"/>
      <c r="E74" s="188"/>
      <c r="F74" s="188"/>
      <c r="G74" s="188"/>
    </row>
    <row r="75" spans="1:7" s="24" customFormat="1" x14ac:dyDescent="0.2">
      <c r="A75" s="34"/>
      <c r="B75" s="188"/>
      <c r="C75" s="188"/>
      <c r="D75" s="188"/>
      <c r="E75" s="188"/>
      <c r="F75" s="188"/>
      <c r="G75" s="188"/>
    </row>
    <row r="76" spans="1:7" s="24" customFormat="1" x14ac:dyDescent="0.2">
      <c r="A76" s="34"/>
      <c r="B76" s="188"/>
      <c r="C76" s="188"/>
      <c r="D76" s="188"/>
      <c r="E76" s="188"/>
      <c r="F76" s="188"/>
      <c r="G76" s="188"/>
    </row>
    <row r="77" spans="1:7" s="24" customFormat="1" x14ac:dyDescent="0.2">
      <c r="A77" s="34"/>
      <c r="B77" s="188"/>
      <c r="C77" s="188"/>
      <c r="D77" s="188"/>
      <c r="E77" s="188"/>
      <c r="F77" s="188"/>
      <c r="G77" s="188"/>
    </row>
    <row r="78" spans="1:7" s="24" customFormat="1" x14ac:dyDescent="0.2">
      <c r="B78" s="188"/>
      <c r="C78" s="188"/>
      <c r="D78" s="188"/>
      <c r="E78" s="188"/>
      <c r="F78" s="188"/>
      <c r="G78" s="188"/>
    </row>
    <row r="79" spans="1:7" s="24" customFormat="1" x14ac:dyDescent="0.2">
      <c r="F79" s="188"/>
      <c r="G79" s="188"/>
    </row>
    <row r="80" spans="1:7" s="24" customFormat="1" x14ac:dyDescent="0.2">
      <c r="F80" s="188"/>
      <c r="G80" s="188"/>
    </row>
    <row r="81" spans="1:7" s="24" customFormat="1" x14ac:dyDescent="0.2">
      <c r="F81" s="188"/>
      <c r="G81" s="188"/>
    </row>
    <row r="82" spans="1:7" s="24" customFormat="1" x14ac:dyDescent="0.2">
      <c r="F82" s="188"/>
      <c r="G82" s="188"/>
    </row>
    <row r="83" spans="1:7" s="24" customFormat="1" x14ac:dyDescent="0.2">
      <c r="F83" s="188"/>
      <c r="G83" s="188"/>
    </row>
    <row r="84" spans="1:7" s="24" customFormat="1" x14ac:dyDescent="0.2">
      <c r="A84" s="34"/>
      <c r="B84" s="189"/>
      <c r="C84" s="189"/>
      <c r="F84" s="188"/>
      <c r="G84" s="188"/>
    </row>
    <row r="85" spans="1:7" s="24" customFormat="1" x14ac:dyDescent="0.2">
      <c r="F85" s="188"/>
      <c r="G85" s="188"/>
    </row>
    <row r="86" spans="1:7" s="24" customFormat="1" x14ac:dyDescent="0.2">
      <c r="A86" s="36"/>
      <c r="B86" s="190"/>
      <c r="C86" s="190"/>
      <c r="F86" s="188"/>
      <c r="G86" s="188"/>
    </row>
    <row r="87" spans="1:7" s="24" customFormat="1" x14ac:dyDescent="0.2">
      <c r="A87" s="36"/>
      <c r="B87" s="190"/>
      <c r="C87" s="190"/>
      <c r="D87" s="189"/>
      <c r="E87" s="189"/>
      <c r="F87" s="188"/>
      <c r="G87" s="188"/>
    </row>
    <row r="88" spans="1:7" s="24" customFormat="1" x14ac:dyDescent="0.2">
      <c r="D88" s="189"/>
      <c r="E88" s="189"/>
      <c r="F88" s="188"/>
      <c r="G88" s="188"/>
    </row>
    <row r="89" spans="1:7" s="24" customFormat="1" x14ac:dyDescent="0.2">
      <c r="A89" s="34"/>
      <c r="B89" s="189"/>
      <c r="C89" s="189"/>
      <c r="D89" s="189"/>
      <c r="E89" s="189"/>
      <c r="F89" s="188"/>
      <c r="G89" s="188"/>
    </row>
    <row r="90" spans="1:7" s="24" customFormat="1" x14ac:dyDescent="0.2">
      <c r="A90" s="36"/>
      <c r="B90" s="189"/>
      <c r="C90" s="189"/>
      <c r="F90" s="188"/>
      <c r="G90" s="188"/>
    </row>
    <row r="91" spans="1:7" s="24" customFormat="1" x14ac:dyDescent="0.2">
      <c r="A91" s="36"/>
      <c r="B91" s="189"/>
      <c r="C91" s="189"/>
      <c r="F91" s="188"/>
      <c r="G91" s="188"/>
    </row>
    <row r="92" spans="1:7" s="24" customFormat="1" x14ac:dyDescent="0.2">
      <c r="F92" s="188"/>
      <c r="G92" s="188"/>
    </row>
    <row r="93" spans="1:7" s="24" customFormat="1" x14ac:dyDescent="0.2">
      <c r="F93" s="188"/>
      <c r="G93" s="188"/>
    </row>
    <row r="94" spans="1:7" s="24" customFormat="1" x14ac:dyDescent="0.2">
      <c r="F94" s="188"/>
      <c r="G94" s="188"/>
    </row>
    <row r="95" spans="1:7" s="24" customFormat="1" x14ac:dyDescent="0.2">
      <c r="F95" s="188"/>
      <c r="G95" s="188"/>
    </row>
    <row r="96" spans="1:7" s="24" customFormat="1" x14ac:dyDescent="0.2">
      <c r="F96" s="188"/>
      <c r="G96" s="188"/>
    </row>
    <row r="97" spans="1:7" s="24" customFormat="1" x14ac:dyDescent="0.2">
      <c r="F97" s="188"/>
      <c r="G97" s="188"/>
    </row>
    <row r="98" spans="1:7" s="24" customFormat="1" x14ac:dyDescent="0.2">
      <c r="F98" s="188"/>
      <c r="G98" s="188"/>
    </row>
    <row r="99" spans="1:7" s="24" customFormat="1" x14ac:dyDescent="0.2">
      <c r="F99" s="188"/>
      <c r="G99" s="188"/>
    </row>
    <row r="100" spans="1:7" s="24" customFormat="1" x14ac:dyDescent="0.2">
      <c r="D100" s="173"/>
      <c r="E100" s="173"/>
    </row>
    <row r="101" spans="1:7" s="24" customFormat="1" x14ac:dyDescent="0.2">
      <c r="D101" s="63"/>
      <c r="E101" s="63"/>
    </row>
    <row r="102" spans="1:7" s="24" customFormat="1" x14ac:dyDescent="0.2">
      <c r="D102" s="191"/>
      <c r="E102" s="191"/>
    </row>
    <row r="103" spans="1:7" s="24" customFormat="1" x14ac:dyDescent="0.2">
      <c r="A103" s="192"/>
      <c r="B103" s="193"/>
      <c r="C103" s="193"/>
      <c r="D103" s="193"/>
    </row>
    <row r="104" spans="1:7" s="24" customFormat="1" x14ac:dyDescent="0.2">
      <c r="A104" s="34"/>
      <c r="B104" s="194"/>
      <c r="C104" s="194"/>
      <c r="D104" s="194"/>
      <c r="E104" s="192"/>
    </row>
    <row r="105" spans="1:7" s="24" customFormat="1" x14ac:dyDescent="0.2">
      <c r="A105" s="36"/>
      <c r="B105" s="195"/>
      <c r="C105" s="195"/>
      <c r="D105" s="194"/>
      <c r="E105" s="194"/>
    </row>
    <row r="106" spans="1:7" s="24" customFormat="1" x14ac:dyDescent="0.2">
      <c r="A106" s="36"/>
      <c r="B106" s="189"/>
      <c r="C106" s="189"/>
      <c r="D106" s="193"/>
      <c r="E106" s="193"/>
    </row>
    <row r="107" spans="1:7" s="24" customFormat="1" x14ac:dyDescent="0.2">
      <c r="A107" s="38"/>
      <c r="B107" s="193"/>
      <c r="C107" s="193"/>
      <c r="D107" s="193"/>
      <c r="E107" s="193"/>
    </row>
    <row r="108" spans="1:7" s="24" customFormat="1" x14ac:dyDescent="0.2">
      <c r="A108" s="36"/>
      <c r="B108" s="193"/>
      <c r="C108" s="193"/>
      <c r="D108" s="193"/>
      <c r="E108" s="193"/>
    </row>
    <row r="109" spans="1:7" s="24" customFormat="1" x14ac:dyDescent="0.2">
      <c r="A109" s="34"/>
      <c r="B109" s="194"/>
      <c r="C109" s="194"/>
      <c r="D109" s="194"/>
      <c r="E109" s="194"/>
    </row>
    <row r="110" spans="1:7" s="24" customFormat="1" x14ac:dyDescent="0.2">
      <c r="A110" s="36"/>
      <c r="B110" s="193"/>
      <c r="C110" s="193"/>
      <c r="D110" s="193"/>
      <c r="E110" s="193"/>
    </row>
    <row r="111" spans="1:7" s="24" customFormat="1" x14ac:dyDescent="0.2">
      <c r="A111" s="36"/>
      <c r="B111" s="193"/>
      <c r="C111" s="193"/>
      <c r="D111" s="193"/>
      <c r="E111" s="193"/>
    </row>
    <row r="112" spans="1:7" s="24" customFormat="1" x14ac:dyDescent="0.2">
      <c r="A112" s="34"/>
      <c r="B112" s="194"/>
      <c r="C112" s="194"/>
      <c r="D112" s="194"/>
      <c r="E112" s="194"/>
    </row>
    <row r="113" spans="1:5" s="24" customFormat="1" x14ac:dyDescent="0.2">
      <c r="A113" s="36"/>
      <c r="B113" s="193"/>
      <c r="C113" s="193"/>
      <c r="D113" s="193"/>
      <c r="E113" s="193"/>
    </row>
    <row r="114" spans="1:5" s="24" customFormat="1" x14ac:dyDescent="0.2">
      <c r="A114" s="36"/>
      <c r="B114" s="193"/>
      <c r="C114" s="193"/>
      <c r="D114" s="193"/>
      <c r="E114" s="193"/>
    </row>
    <row r="115" spans="1:5" s="24" customFormat="1" x14ac:dyDescent="0.2">
      <c r="A115" s="34"/>
      <c r="B115" s="194"/>
      <c r="C115" s="194"/>
      <c r="D115" s="194"/>
      <c r="E115" s="194"/>
    </row>
    <row r="116" spans="1:5" s="24" customFormat="1" x14ac:dyDescent="0.2">
      <c r="A116" s="36"/>
      <c r="B116" s="193"/>
      <c r="C116" s="193"/>
      <c r="D116" s="193"/>
      <c r="E116" s="193"/>
    </row>
    <row r="117" spans="1:5" s="24" customFormat="1" x14ac:dyDescent="0.2">
      <c r="A117" s="34"/>
      <c r="B117" s="194"/>
      <c r="C117" s="194"/>
      <c r="D117" s="194"/>
      <c r="E117" s="194"/>
    </row>
    <row r="118" spans="1:5" s="24" customFormat="1" x14ac:dyDescent="0.2">
      <c r="A118" s="36"/>
      <c r="B118" s="193"/>
      <c r="C118" s="193"/>
      <c r="D118" s="193"/>
      <c r="E118" s="193"/>
    </row>
    <row r="119" spans="1:5" s="24" customFormat="1" x14ac:dyDescent="0.2">
      <c r="A119" s="36"/>
      <c r="B119" s="193"/>
      <c r="C119" s="193"/>
      <c r="D119" s="193"/>
      <c r="E119" s="193"/>
    </row>
    <row r="120" spans="1:5" s="24" customFormat="1" x14ac:dyDescent="0.2">
      <c r="A120" s="34"/>
      <c r="B120" s="89"/>
      <c r="C120" s="89"/>
      <c r="D120" s="89"/>
      <c r="E120" s="89"/>
    </row>
    <row r="121" spans="1:5" s="24" customFormat="1" x14ac:dyDescent="0.2">
      <c r="A121" s="38"/>
      <c r="B121" s="89"/>
      <c r="C121" s="89"/>
      <c r="D121" s="89"/>
      <c r="E121" s="89"/>
    </row>
    <row r="122" spans="1:5" s="24" customFormat="1" x14ac:dyDescent="0.2"/>
    <row r="123" spans="1:5" s="24" customFormat="1" x14ac:dyDescent="0.2">
      <c r="E123" s="36"/>
    </row>
    <row r="124" spans="1:5" s="24" customFormat="1" x14ac:dyDescent="0.2">
      <c r="E124" s="36"/>
    </row>
    <row r="125" spans="1:5" s="24" customFormat="1" x14ac:dyDescent="0.2"/>
    <row r="126" spans="1:5" s="24" customFormat="1" x14ac:dyDescent="0.2"/>
    <row r="127" spans="1:5" s="24" customFormat="1" x14ac:dyDescent="0.2">
      <c r="B127" s="36"/>
      <c r="C127" s="190"/>
    </row>
    <row r="128" spans="1:5" s="24" customFormat="1" x14ac:dyDescent="0.2">
      <c r="B128" s="36"/>
      <c r="C128" s="190"/>
    </row>
    <row r="129" s="24" customFormat="1" x14ac:dyDescent="0.2"/>
    <row r="130" s="24" customFormat="1" x14ac:dyDescent="0.2"/>
    <row r="131" s="24" customFormat="1" x14ac:dyDescent="0.2"/>
    <row r="132" s="24" customFormat="1" x14ac:dyDescent="0.2"/>
    <row r="133" s="24" customFormat="1" x14ac:dyDescent="0.2"/>
    <row r="134" s="24" customFormat="1" x14ac:dyDescent="0.2"/>
    <row r="135" s="24" customFormat="1" x14ac:dyDescent="0.2"/>
    <row r="136" s="24" customFormat="1" x14ac:dyDescent="0.2"/>
    <row r="137" s="24" customFormat="1" x14ac:dyDescent="0.2"/>
    <row r="138" s="24" customFormat="1" x14ac:dyDescent="0.2"/>
    <row r="139" s="24" customFormat="1" x14ac:dyDescent="0.2"/>
    <row r="140" s="24" customFormat="1" x14ac:dyDescent="0.2"/>
    <row r="141" s="24" customFormat="1" x14ac:dyDescent="0.2"/>
    <row r="142" s="24" customFormat="1" x14ac:dyDescent="0.2"/>
    <row r="143" s="24" customFormat="1" x14ac:dyDescent="0.2"/>
    <row r="144" s="24" customFormat="1" x14ac:dyDescent="0.2"/>
    <row r="145" spans="2:3" s="24" customFormat="1" x14ac:dyDescent="0.2">
      <c r="B145" s="38"/>
      <c r="C145" s="196"/>
    </row>
    <row r="146" spans="2:3" s="24" customFormat="1" x14ac:dyDescent="0.2"/>
    <row r="147" spans="2:3" s="24" customFormat="1" x14ac:dyDescent="0.2"/>
    <row r="148" spans="2:3" s="24" customFormat="1" x14ac:dyDescent="0.2"/>
    <row r="149" spans="2:3" s="24" customFormat="1" x14ac:dyDescent="0.2"/>
    <row r="150" spans="2:3" s="24" customFormat="1" x14ac:dyDescent="0.2"/>
    <row r="151" spans="2:3" s="24" customFormat="1" x14ac:dyDescent="0.2"/>
    <row r="152" spans="2:3" s="24" customFormat="1" x14ac:dyDescent="0.2"/>
    <row r="153" spans="2:3" s="24" customFormat="1" x14ac:dyDescent="0.2"/>
    <row r="154" spans="2:3" s="24" customFormat="1" x14ac:dyDescent="0.2"/>
    <row r="155" spans="2:3" s="24" customFormat="1" x14ac:dyDescent="0.2"/>
    <row r="156" spans="2:3" s="24" customFormat="1" x14ac:dyDescent="0.2"/>
    <row r="157" spans="2:3" s="24" customFormat="1" x14ac:dyDescent="0.2"/>
    <row r="158" spans="2:3" s="24" customFormat="1" x14ac:dyDescent="0.2"/>
    <row r="159" spans="2:3" s="24" customFormat="1" x14ac:dyDescent="0.2"/>
    <row r="160" spans="2:3" s="24" customFormat="1" x14ac:dyDescent="0.2"/>
    <row r="161" s="24" customFormat="1" x14ac:dyDescent="0.2"/>
    <row r="162" s="24" customFormat="1" ht="15" customHeight="1" x14ac:dyDescent="0.2"/>
    <row r="163" s="24" customFormat="1" x14ac:dyDescent="0.2"/>
    <row r="164" s="24" customFormat="1" x14ac:dyDescent="0.2"/>
    <row r="165" s="24" customFormat="1" x14ac:dyDescent="0.2"/>
    <row r="166" s="24" customFormat="1" x14ac:dyDescent="0.2"/>
    <row r="167" s="24" customFormat="1" x14ac:dyDescent="0.2"/>
    <row r="168" s="24" customFormat="1" x14ac:dyDescent="0.2"/>
    <row r="169" s="24" customFormat="1" x14ac:dyDescent="0.2"/>
    <row r="170" s="24" customFormat="1" x14ac:dyDescent="0.2"/>
    <row r="171" s="24" customFormat="1" x14ac:dyDescent="0.2"/>
    <row r="172" s="24" customFormat="1" x14ac:dyDescent="0.2"/>
    <row r="173" s="24" customFormat="1" x14ac:dyDescent="0.2"/>
    <row r="174" s="24" customFormat="1" x14ac:dyDescent="0.2"/>
    <row r="175" s="24" customFormat="1" x14ac:dyDescent="0.2"/>
    <row r="176" s="24" customFormat="1" x14ac:dyDescent="0.2"/>
    <row r="177" s="24" customFormat="1" x14ac:dyDescent="0.2"/>
    <row r="178" s="24" customFormat="1" x14ac:dyDescent="0.2"/>
    <row r="179" s="24" customFormat="1" x14ac:dyDescent="0.2"/>
    <row r="180" s="24" customFormat="1" x14ac:dyDescent="0.2"/>
    <row r="181" s="24" customFormat="1" x14ac:dyDescent="0.2"/>
    <row r="182" s="24" customFormat="1" x14ac:dyDescent="0.2"/>
    <row r="183" s="24" customFormat="1" x14ac:dyDescent="0.2"/>
    <row r="184" s="24" customFormat="1" x14ac:dyDescent="0.2"/>
    <row r="185" s="24" customFormat="1" x14ac:dyDescent="0.2"/>
    <row r="186" s="24" customFormat="1" x14ac:dyDescent="0.2"/>
    <row r="187" s="24" customFormat="1" x14ac:dyDescent="0.2"/>
    <row r="188" s="24" customFormat="1" x14ac:dyDescent="0.2"/>
    <row r="189" s="24" customFormat="1" x14ac:dyDescent="0.2"/>
    <row r="190" s="24" customFormat="1" x14ac:dyDescent="0.2"/>
    <row r="191" s="24" customFormat="1" x14ac:dyDescent="0.2"/>
    <row r="192" s="24" customFormat="1" x14ac:dyDescent="0.2"/>
    <row r="193" s="24" customFormat="1" x14ac:dyDescent="0.2"/>
    <row r="194" s="24" customFormat="1" x14ac:dyDescent="0.2"/>
    <row r="195" s="24" customFormat="1" x14ac:dyDescent="0.2"/>
    <row r="196" s="24" customFormat="1" x14ac:dyDescent="0.2"/>
    <row r="197" s="24" customFormat="1" x14ac:dyDescent="0.2"/>
    <row r="198" s="24" customFormat="1" x14ac:dyDescent="0.2"/>
    <row r="199" s="24" customFormat="1" x14ac:dyDescent="0.2"/>
    <row r="200" s="24" customFormat="1" x14ac:dyDescent="0.2"/>
    <row r="201" s="24" customFormat="1" x14ac:dyDescent="0.2"/>
    <row r="202" s="24" customFormat="1" x14ac:dyDescent="0.2"/>
    <row r="203" s="24" customFormat="1" x14ac:dyDescent="0.2"/>
    <row r="204" s="24" customFormat="1" x14ac:dyDescent="0.2"/>
    <row r="205" s="24" customFormat="1" x14ac:dyDescent="0.2"/>
    <row r="206" s="24" customFormat="1" x14ac:dyDescent="0.2"/>
    <row r="207" s="24" customFormat="1" x14ac:dyDescent="0.2"/>
    <row r="208" s="24" customFormat="1" x14ac:dyDescent="0.2"/>
    <row r="209" s="24" customFormat="1" x14ac:dyDescent="0.2"/>
    <row r="210" s="24" customFormat="1" x14ac:dyDescent="0.2"/>
    <row r="211" s="24" customFormat="1" x14ac:dyDescent="0.2"/>
    <row r="212" s="24" customFormat="1" x14ac:dyDescent="0.2"/>
    <row r="213" s="24" customFormat="1" x14ac:dyDescent="0.2"/>
    <row r="214" s="24" customFormat="1" x14ac:dyDescent="0.2"/>
    <row r="215" s="24" customFormat="1" x14ac:dyDescent="0.2"/>
    <row r="216" s="24" customFormat="1" x14ac:dyDescent="0.2"/>
    <row r="217" s="24" customFormat="1" x14ac:dyDescent="0.2"/>
    <row r="218" s="24" customFormat="1" x14ac:dyDescent="0.2"/>
    <row r="219" s="24" customFormat="1" x14ac:dyDescent="0.2"/>
    <row r="220" s="24" customFormat="1" x14ac:dyDescent="0.2"/>
    <row r="221" s="24" customFormat="1" x14ac:dyDescent="0.2"/>
    <row r="222" s="24" customFormat="1" x14ac:dyDescent="0.2"/>
    <row r="223" s="24" customFormat="1" x14ac:dyDescent="0.2"/>
    <row r="224" s="24" customFormat="1" x14ac:dyDescent="0.2"/>
    <row r="225" s="24" customFormat="1" x14ac:dyDescent="0.2"/>
    <row r="226" s="24" customFormat="1" x14ac:dyDescent="0.2"/>
    <row r="227" s="24" customFormat="1" x14ac:dyDescent="0.2"/>
    <row r="228" s="24" customFormat="1" x14ac:dyDescent="0.2"/>
    <row r="229" s="24" customFormat="1" x14ac:dyDescent="0.2"/>
    <row r="230" s="24" customFormat="1" x14ac:dyDescent="0.2"/>
    <row r="231" s="24" customFormat="1" x14ac:dyDescent="0.2"/>
    <row r="232" s="24" customFormat="1" x14ac:dyDescent="0.2"/>
    <row r="233" s="24" customFormat="1" x14ac:dyDescent="0.2"/>
    <row r="234" s="24" customFormat="1" x14ac:dyDescent="0.2"/>
    <row r="235" s="24" customFormat="1" x14ac:dyDescent="0.2"/>
    <row r="236" s="24" customFormat="1" x14ac:dyDescent="0.2"/>
    <row r="237" s="24" customFormat="1" x14ac:dyDescent="0.2"/>
    <row r="238" s="24" customFormat="1" x14ac:dyDescent="0.2"/>
    <row r="239" s="24" customFormat="1" x14ac:dyDescent="0.2"/>
    <row r="240" s="24" customFormat="1" x14ac:dyDescent="0.2"/>
    <row r="241" s="24" customFormat="1" x14ac:dyDescent="0.2"/>
    <row r="242" s="24" customFormat="1" x14ac:dyDescent="0.2"/>
    <row r="243" s="24" customFormat="1" x14ac:dyDescent="0.2"/>
    <row r="244" s="24" customFormat="1" x14ac:dyDescent="0.2"/>
    <row r="245" s="24" customFormat="1" x14ac:dyDescent="0.2"/>
    <row r="246" s="24" customFormat="1" x14ac:dyDescent="0.2"/>
    <row r="247" s="24" customFormat="1" x14ac:dyDescent="0.2"/>
    <row r="248" s="24" customFormat="1" x14ac:dyDescent="0.2"/>
    <row r="249" s="24" customFormat="1" x14ac:dyDescent="0.2"/>
    <row r="250" s="24" customFormat="1" x14ac:dyDescent="0.2"/>
    <row r="251" s="24" customFormat="1" x14ac:dyDescent="0.2"/>
    <row r="252" s="24" customFormat="1" x14ac:dyDescent="0.2"/>
    <row r="253" s="24" customFormat="1" x14ac:dyDescent="0.2"/>
    <row r="254" s="24" customFormat="1" x14ac:dyDescent="0.2"/>
    <row r="255" s="24" customFormat="1" x14ac:dyDescent="0.2"/>
    <row r="256" s="24" customFormat="1" x14ac:dyDescent="0.2"/>
    <row r="257" spans="1:1" x14ac:dyDescent="0.2">
      <c r="A257" s="88"/>
    </row>
    <row r="258" spans="1:1" x14ac:dyDescent="0.2">
      <c r="A258" s="88"/>
    </row>
    <row r="259" spans="1:1" x14ac:dyDescent="0.2">
      <c r="A259" s="88"/>
    </row>
    <row r="260" spans="1:1" x14ac:dyDescent="0.2">
      <c r="A260" s="88"/>
    </row>
    <row r="261" spans="1:1" x14ac:dyDescent="0.2">
      <c r="A261" s="88"/>
    </row>
    <row r="262" spans="1:1" x14ac:dyDescent="0.2">
      <c r="A262" s="88"/>
    </row>
    <row r="263" spans="1:1" x14ac:dyDescent="0.2">
      <c r="A263" s="88"/>
    </row>
    <row r="264" spans="1:1" x14ac:dyDescent="0.2">
      <c r="A264" s="88"/>
    </row>
    <row r="265" spans="1:1" x14ac:dyDescent="0.2">
      <c r="A265" s="88"/>
    </row>
    <row r="266" spans="1:1" x14ac:dyDescent="0.2">
      <c r="A266" s="88"/>
    </row>
    <row r="267" spans="1:1" x14ac:dyDescent="0.2">
      <c r="A267" s="88"/>
    </row>
    <row r="268" spans="1:1" x14ac:dyDescent="0.2">
      <c r="A268" s="88"/>
    </row>
    <row r="269" spans="1:1" x14ac:dyDescent="0.2">
      <c r="A269" s="88"/>
    </row>
    <row r="270" spans="1:1" x14ac:dyDescent="0.2">
      <c r="A270" s="88"/>
    </row>
    <row r="271" spans="1:1" x14ac:dyDescent="0.2">
      <c r="A271" s="88"/>
    </row>
    <row r="272" spans="1:1" x14ac:dyDescent="0.2">
      <c r="A272" s="88"/>
    </row>
    <row r="273" spans="1:1" x14ac:dyDescent="0.2">
      <c r="A273" s="88"/>
    </row>
    <row r="274" spans="1:1" x14ac:dyDescent="0.2">
      <c r="A274" s="88"/>
    </row>
    <row r="275" spans="1:1" x14ac:dyDescent="0.2">
      <c r="A275" s="88"/>
    </row>
    <row r="276" spans="1:1" x14ac:dyDescent="0.2">
      <c r="A276" s="88"/>
    </row>
    <row r="277" spans="1:1" x14ac:dyDescent="0.2">
      <c r="A277" s="88"/>
    </row>
    <row r="278" spans="1:1" x14ac:dyDescent="0.2">
      <c r="A278" s="88"/>
    </row>
    <row r="279" spans="1:1" x14ac:dyDescent="0.2">
      <c r="A279" s="88"/>
    </row>
    <row r="280" spans="1:1" x14ac:dyDescent="0.2">
      <c r="A280" s="88"/>
    </row>
    <row r="281" spans="1:1" x14ac:dyDescent="0.2">
      <c r="A281" s="88"/>
    </row>
    <row r="282" spans="1:1" x14ac:dyDescent="0.2">
      <c r="A282" s="88"/>
    </row>
    <row r="283" spans="1:1" x14ac:dyDescent="0.2">
      <c r="A283" s="88"/>
    </row>
    <row r="284" spans="1:1" x14ac:dyDescent="0.2">
      <c r="A284" s="88"/>
    </row>
    <row r="285" spans="1:1" x14ac:dyDescent="0.2">
      <c r="A285" s="88"/>
    </row>
    <row r="286" spans="1:1" x14ac:dyDescent="0.2">
      <c r="A286" s="88"/>
    </row>
    <row r="287" spans="1:1" x14ac:dyDescent="0.2">
      <c r="A287" s="88"/>
    </row>
    <row r="288" spans="1:1" x14ac:dyDescent="0.2">
      <c r="A288" s="88"/>
    </row>
    <row r="289" spans="1:1" x14ac:dyDescent="0.2">
      <c r="A289" s="88"/>
    </row>
    <row r="290" spans="1:1" x14ac:dyDescent="0.2">
      <c r="A290" s="88"/>
    </row>
    <row r="291" spans="1:1" x14ac:dyDescent="0.2">
      <c r="A291" s="88"/>
    </row>
    <row r="292" spans="1:1" x14ac:dyDescent="0.2">
      <c r="A292" s="88"/>
    </row>
    <row r="293" spans="1:1" x14ac:dyDescent="0.2">
      <c r="A293" s="88"/>
    </row>
    <row r="294" spans="1:1" x14ac:dyDescent="0.2">
      <c r="A294" s="88"/>
    </row>
    <row r="295" spans="1:1" x14ac:dyDescent="0.2">
      <c r="A295" s="88"/>
    </row>
    <row r="296" spans="1:1" x14ac:dyDescent="0.2">
      <c r="A296" s="88"/>
    </row>
    <row r="297" spans="1:1" x14ac:dyDescent="0.2">
      <c r="A297" s="88"/>
    </row>
    <row r="298" spans="1:1" x14ac:dyDescent="0.2">
      <c r="A298" s="88"/>
    </row>
    <row r="299" spans="1:1" x14ac:dyDescent="0.2">
      <c r="A299" s="88"/>
    </row>
    <row r="300" spans="1:1" x14ac:dyDescent="0.2">
      <c r="A300" s="88"/>
    </row>
    <row r="301" spans="1:1" x14ac:dyDescent="0.2">
      <c r="A301" s="88"/>
    </row>
    <row r="302" spans="1:1" x14ac:dyDescent="0.2">
      <c r="A302" s="88"/>
    </row>
    <row r="303" spans="1:1" x14ac:dyDescent="0.2">
      <c r="A303" s="88"/>
    </row>
    <row r="304" spans="1:1" x14ac:dyDescent="0.2">
      <c r="A304" s="88"/>
    </row>
    <row r="305" spans="1:1" x14ac:dyDescent="0.2">
      <c r="A305" s="88"/>
    </row>
    <row r="306" spans="1:1" x14ac:dyDescent="0.2">
      <c r="A306" s="88"/>
    </row>
    <row r="307" spans="1:1" x14ac:dyDescent="0.2">
      <c r="A307" s="88"/>
    </row>
    <row r="308" spans="1:1" x14ac:dyDescent="0.2">
      <c r="A308" s="88"/>
    </row>
    <row r="309" spans="1:1" x14ac:dyDescent="0.2">
      <c r="A309" s="88"/>
    </row>
    <row r="310" spans="1:1" x14ac:dyDescent="0.2">
      <c r="A310" s="88"/>
    </row>
    <row r="311" spans="1:1" x14ac:dyDescent="0.2">
      <c r="A311" s="88"/>
    </row>
    <row r="312" spans="1:1" x14ac:dyDescent="0.2">
      <c r="A312" s="88"/>
    </row>
    <row r="313" spans="1:1" x14ac:dyDescent="0.2">
      <c r="A313" s="88"/>
    </row>
    <row r="314" spans="1:1" x14ac:dyDescent="0.2">
      <c r="A314" s="88"/>
    </row>
    <row r="315" spans="1:1" x14ac:dyDescent="0.2">
      <c r="A315" s="88"/>
    </row>
    <row r="316" spans="1:1" x14ac:dyDescent="0.2">
      <c r="A316" s="88"/>
    </row>
    <row r="317" spans="1:1" x14ac:dyDescent="0.2">
      <c r="A317" s="88"/>
    </row>
    <row r="318" spans="1:1" x14ac:dyDescent="0.2">
      <c r="A318" s="88"/>
    </row>
    <row r="319" spans="1:1" x14ac:dyDescent="0.2">
      <c r="A319" s="88"/>
    </row>
    <row r="320" spans="1:1" x14ac:dyDescent="0.2">
      <c r="A320" s="88"/>
    </row>
    <row r="321" spans="1:1" x14ac:dyDescent="0.2">
      <c r="A321" s="88"/>
    </row>
    <row r="322" spans="1:1" x14ac:dyDescent="0.2">
      <c r="A322" s="88"/>
    </row>
    <row r="323" spans="1:1" x14ac:dyDescent="0.2">
      <c r="A323" s="88"/>
    </row>
    <row r="324" spans="1:1" x14ac:dyDescent="0.2">
      <c r="A324" s="88"/>
    </row>
    <row r="325" spans="1:1" x14ac:dyDescent="0.2">
      <c r="A325" s="88"/>
    </row>
    <row r="326" spans="1:1" x14ac:dyDescent="0.2">
      <c r="A326" s="88"/>
    </row>
    <row r="327" spans="1:1" x14ac:dyDescent="0.2">
      <c r="A327" s="88"/>
    </row>
    <row r="328" spans="1:1" x14ac:dyDescent="0.2">
      <c r="A328" s="88"/>
    </row>
    <row r="329" spans="1:1" x14ac:dyDescent="0.2">
      <c r="A329" s="88"/>
    </row>
    <row r="330" spans="1:1" x14ac:dyDescent="0.2">
      <c r="A330" s="88"/>
    </row>
    <row r="331" spans="1:1" x14ac:dyDescent="0.2">
      <c r="A331" s="88"/>
    </row>
    <row r="332" spans="1:1" x14ac:dyDescent="0.2">
      <c r="A332" s="88"/>
    </row>
    <row r="333" spans="1:1" x14ac:dyDescent="0.2">
      <c r="A333" s="88"/>
    </row>
    <row r="334" spans="1:1" x14ac:dyDescent="0.2">
      <c r="A334" s="88"/>
    </row>
    <row r="335" spans="1:1" x14ac:dyDescent="0.2">
      <c r="A335" s="88"/>
    </row>
    <row r="336" spans="1:1" x14ac:dyDescent="0.2">
      <c r="A336" s="88"/>
    </row>
    <row r="337" spans="1:1" x14ac:dyDescent="0.2">
      <c r="A337" s="88"/>
    </row>
    <row r="338" spans="1:1" x14ac:dyDescent="0.2">
      <c r="A338" s="88"/>
    </row>
    <row r="339" spans="1:1" x14ac:dyDescent="0.2">
      <c r="A339" s="88"/>
    </row>
    <row r="340" spans="1:1" x14ac:dyDescent="0.2">
      <c r="A340" s="88"/>
    </row>
    <row r="341" spans="1:1" x14ac:dyDescent="0.2">
      <c r="A341" s="88"/>
    </row>
    <row r="342" spans="1:1" x14ac:dyDescent="0.2">
      <c r="A342" s="88"/>
    </row>
    <row r="343" spans="1:1" x14ac:dyDescent="0.2">
      <c r="A343" s="88"/>
    </row>
    <row r="344" spans="1:1" x14ac:dyDescent="0.2">
      <c r="A344" s="88"/>
    </row>
    <row r="345" spans="1:1" x14ac:dyDescent="0.2">
      <c r="A345" s="88"/>
    </row>
    <row r="346" spans="1:1" x14ac:dyDescent="0.2">
      <c r="A346" s="88"/>
    </row>
    <row r="347" spans="1:1" x14ac:dyDescent="0.2">
      <c r="A347" s="88"/>
    </row>
    <row r="348" spans="1:1" x14ac:dyDescent="0.2">
      <c r="A348" s="88"/>
    </row>
    <row r="349" spans="1:1" x14ac:dyDescent="0.2">
      <c r="A349" s="88"/>
    </row>
    <row r="350" spans="1:1" x14ac:dyDescent="0.2">
      <c r="A350" s="88"/>
    </row>
    <row r="351" spans="1:1" x14ac:dyDescent="0.2">
      <c r="A351" s="88"/>
    </row>
    <row r="352" spans="1:1" x14ac:dyDescent="0.2">
      <c r="A352" s="88"/>
    </row>
    <row r="353" spans="1:1" x14ac:dyDescent="0.2">
      <c r="A353" s="88"/>
    </row>
    <row r="354" spans="1:1" x14ac:dyDescent="0.2">
      <c r="A354" s="88"/>
    </row>
    <row r="355" spans="1:1" x14ac:dyDescent="0.2">
      <c r="A355" s="88"/>
    </row>
    <row r="356" spans="1:1" x14ac:dyDescent="0.2">
      <c r="A356" s="88"/>
    </row>
    <row r="357" spans="1:1" x14ac:dyDescent="0.2">
      <c r="A357" s="88"/>
    </row>
    <row r="358" spans="1:1" x14ac:dyDescent="0.2">
      <c r="A358" s="88"/>
    </row>
    <row r="359" spans="1:1" x14ac:dyDescent="0.2">
      <c r="A359" s="88"/>
    </row>
    <row r="360" spans="1:1" x14ac:dyDescent="0.2">
      <c r="A360" s="88"/>
    </row>
    <row r="361" spans="1:1" x14ac:dyDescent="0.2">
      <c r="A361" s="88"/>
    </row>
    <row r="362" spans="1:1" x14ac:dyDescent="0.2">
      <c r="A362" s="88"/>
    </row>
    <row r="363" spans="1:1" x14ac:dyDescent="0.2">
      <c r="A363" s="88"/>
    </row>
    <row r="364" spans="1:1" x14ac:dyDescent="0.2">
      <c r="A364" s="88"/>
    </row>
    <row r="365" spans="1:1" x14ac:dyDescent="0.2">
      <c r="A365" s="88"/>
    </row>
    <row r="366" spans="1:1" x14ac:dyDescent="0.2">
      <c r="A366" s="88"/>
    </row>
    <row r="367" spans="1:1" x14ac:dyDescent="0.2">
      <c r="A367" s="88"/>
    </row>
    <row r="368" spans="1:1" x14ac:dyDescent="0.2">
      <c r="A368" s="88"/>
    </row>
    <row r="369" spans="1:1" x14ac:dyDescent="0.2">
      <c r="A369" s="88"/>
    </row>
    <row r="370" spans="1:1" x14ac:dyDescent="0.2">
      <c r="A370" s="88"/>
    </row>
    <row r="371" spans="1:1" x14ac:dyDescent="0.2">
      <c r="A371" s="88"/>
    </row>
    <row r="372" spans="1:1" x14ac:dyDescent="0.2">
      <c r="A372" s="88"/>
    </row>
    <row r="373" spans="1:1" x14ac:dyDescent="0.2">
      <c r="A373" s="88"/>
    </row>
    <row r="374" spans="1:1" x14ac:dyDescent="0.2">
      <c r="A374" s="88"/>
    </row>
    <row r="375" spans="1:1" x14ac:dyDescent="0.2">
      <c r="A375" s="88"/>
    </row>
    <row r="376" spans="1:1" x14ac:dyDescent="0.2">
      <c r="A376" s="88"/>
    </row>
    <row r="377" spans="1:1" x14ac:dyDescent="0.2">
      <c r="A377" s="88"/>
    </row>
    <row r="378" spans="1:1" x14ac:dyDescent="0.2">
      <c r="A378" s="88"/>
    </row>
    <row r="379" spans="1:1" x14ac:dyDescent="0.2">
      <c r="A379" s="88"/>
    </row>
    <row r="380" spans="1:1" x14ac:dyDescent="0.2">
      <c r="A380" s="88"/>
    </row>
    <row r="381" spans="1:1" x14ac:dyDescent="0.2">
      <c r="A381" s="88"/>
    </row>
    <row r="382" spans="1:1" x14ac:dyDescent="0.2">
      <c r="A382" s="88"/>
    </row>
    <row r="383" spans="1:1" x14ac:dyDescent="0.2">
      <c r="A383" s="88"/>
    </row>
    <row r="384" spans="1:1" x14ac:dyDescent="0.2">
      <c r="A384" s="88"/>
    </row>
    <row r="385" spans="1:1" x14ac:dyDescent="0.2">
      <c r="A385" s="88"/>
    </row>
    <row r="386" spans="1:1" x14ac:dyDescent="0.2">
      <c r="A386" s="88"/>
    </row>
    <row r="387" spans="1:1" x14ac:dyDescent="0.2">
      <c r="A387" s="88"/>
    </row>
    <row r="388" spans="1:1" x14ac:dyDescent="0.2">
      <c r="A388" s="88"/>
    </row>
    <row r="389" spans="1:1" x14ac:dyDescent="0.2">
      <c r="A389" s="88"/>
    </row>
    <row r="390" spans="1:1" x14ac:dyDescent="0.2">
      <c r="A390" s="88"/>
    </row>
    <row r="391" spans="1:1" x14ac:dyDescent="0.2">
      <c r="A391" s="88"/>
    </row>
    <row r="392" spans="1:1" x14ac:dyDescent="0.2">
      <c r="A392" s="88"/>
    </row>
    <row r="393" spans="1:1" x14ac:dyDescent="0.2">
      <c r="A393" s="88"/>
    </row>
    <row r="394" spans="1:1" x14ac:dyDescent="0.2">
      <c r="A394" s="88"/>
    </row>
    <row r="395" spans="1:1" x14ac:dyDescent="0.2">
      <c r="A395" s="88"/>
    </row>
    <row r="396" spans="1:1" x14ac:dyDescent="0.2">
      <c r="A396" s="88"/>
    </row>
    <row r="397" spans="1:1" x14ac:dyDescent="0.2">
      <c r="A397" s="88"/>
    </row>
    <row r="398" spans="1:1" x14ac:dyDescent="0.2">
      <c r="A398" s="88"/>
    </row>
    <row r="399" spans="1:1" x14ac:dyDescent="0.2">
      <c r="A399" s="88"/>
    </row>
    <row r="400" spans="1:1" x14ac:dyDescent="0.2">
      <c r="A400" s="88"/>
    </row>
    <row r="401" spans="1:1" x14ac:dyDescent="0.2">
      <c r="A401" s="88"/>
    </row>
    <row r="402" spans="1:1" x14ac:dyDescent="0.2">
      <c r="A402" s="88"/>
    </row>
    <row r="403" spans="1:1" x14ac:dyDescent="0.2">
      <c r="A403" s="88"/>
    </row>
    <row r="404" spans="1:1" x14ac:dyDescent="0.2">
      <c r="A404" s="88"/>
    </row>
    <row r="405" spans="1:1" x14ac:dyDescent="0.2">
      <c r="A405" s="88"/>
    </row>
    <row r="406" spans="1:1" x14ac:dyDescent="0.2">
      <c r="A406" s="88"/>
    </row>
    <row r="407" spans="1:1" x14ac:dyDescent="0.2">
      <c r="A407" s="88"/>
    </row>
    <row r="408" spans="1:1" x14ac:dyDescent="0.2">
      <c r="A408" s="88"/>
    </row>
    <row r="409" spans="1:1" x14ac:dyDescent="0.2">
      <c r="A409" s="88"/>
    </row>
    <row r="410" spans="1:1" x14ac:dyDescent="0.2">
      <c r="A410" s="88"/>
    </row>
    <row r="411" spans="1:1" x14ac:dyDescent="0.2">
      <c r="A411" s="88"/>
    </row>
    <row r="412" spans="1:1" x14ac:dyDescent="0.2">
      <c r="A412" s="88"/>
    </row>
    <row r="413" spans="1:1" x14ac:dyDescent="0.2">
      <c r="A413" s="88"/>
    </row>
    <row r="414" spans="1:1" x14ac:dyDescent="0.2">
      <c r="A414" s="88"/>
    </row>
    <row r="415" spans="1:1" x14ac:dyDescent="0.2">
      <c r="A415" s="88"/>
    </row>
    <row r="416" spans="1:1" x14ac:dyDescent="0.2">
      <c r="A416" s="88"/>
    </row>
    <row r="417" spans="1:1" x14ac:dyDescent="0.2">
      <c r="A417" s="88"/>
    </row>
    <row r="418" spans="1:1" x14ac:dyDescent="0.2">
      <c r="A418" s="88"/>
    </row>
    <row r="419" spans="1:1" x14ac:dyDescent="0.2">
      <c r="A419" s="88"/>
    </row>
    <row r="420" spans="1:1" x14ac:dyDescent="0.2">
      <c r="A420" s="88"/>
    </row>
    <row r="421" spans="1:1" x14ac:dyDescent="0.2">
      <c r="A421" s="88"/>
    </row>
    <row r="422" spans="1:1" x14ac:dyDescent="0.2">
      <c r="A422" s="88"/>
    </row>
    <row r="423" spans="1:1" x14ac:dyDescent="0.2">
      <c r="A423" s="88"/>
    </row>
    <row r="424" spans="1:1" x14ac:dyDescent="0.2">
      <c r="A424" s="88"/>
    </row>
    <row r="425" spans="1:1" x14ac:dyDescent="0.2">
      <c r="A425" s="88"/>
    </row>
    <row r="426" spans="1:1" x14ac:dyDescent="0.2">
      <c r="A426" s="88"/>
    </row>
    <row r="427" spans="1:1" x14ac:dyDescent="0.2">
      <c r="A427" s="88"/>
    </row>
    <row r="428" spans="1:1" x14ac:dyDescent="0.2">
      <c r="A428" s="88"/>
    </row>
    <row r="429" spans="1:1" x14ac:dyDescent="0.2">
      <c r="A429" s="88"/>
    </row>
    <row r="430" spans="1:1" x14ac:dyDescent="0.2">
      <c r="A430" s="88"/>
    </row>
    <row r="431" spans="1:1" x14ac:dyDescent="0.2">
      <c r="A431" s="88"/>
    </row>
    <row r="432" spans="1:1" x14ac:dyDescent="0.2">
      <c r="A432" s="88"/>
    </row>
    <row r="433" spans="1:1" x14ac:dyDescent="0.2">
      <c r="A433" s="88"/>
    </row>
    <row r="434" spans="1:1" x14ac:dyDescent="0.2">
      <c r="A434" s="88"/>
    </row>
    <row r="435" spans="1:1" x14ac:dyDescent="0.2">
      <c r="A435" s="88"/>
    </row>
    <row r="436" spans="1:1" x14ac:dyDescent="0.2">
      <c r="A436" s="88"/>
    </row>
    <row r="437" spans="1:1" x14ac:dyDescent="0.2">
      <c r="A437" s="88"/>
    </row>
    <row r="438" spans="1:1" x14ac:dyDescent="0.2">
      <c r="A438" s="88"/>
    </row>
    <row r="439" spans="1:1" x14ac:dyDescent="0.2">
      <c r="A439" s="88"/>
    </row>
    <row r="440" spans="1:1" x14ac:dyDescent="0.2">
      <c r="A440" s="88"/>
    </row>
    <row r="441" spans="1:1" x14ac:dyDescent="0.2">
      <c r="A441" s="88"/>
    </row>
    <row r="442" spans="1:1" x14ac:dyDescent="0.2">
      <c r="A442" s="88"/>
    </row>
    <row r="443" spans="1:1" x14ac:dyDescent="0.2">
      <c r="A443" s="88"/>
    </row>
    <row r="444" spans="1:1" x14ac:dyDescent="0.2">
      <c r="A444" s="88"/>
    </row>
    <row r="445" spans="1:1" x14ac:dyDescent="0.2">
      <c r="A445" s="88"/>
    </row>
    <row r="446" spans="1:1" x14ac:dyDescent="0.2">
      <c r="A446" s="88"/>
    </row>
    <row r="447" spans="1:1" x14ac:dyDescent="0.2">
      <c r="A447" s="88"/>
    </row>
    <row r="448" spans="1:1" x14ac:dyDescent="0.2">
      <c r="A448" s="88"/>
    </row>
    <row r="449" spans="1:1" x14ac:dyDescent="0.2">
      <c r="A449" s="88"/>
    </row>
    <row r="450" spans="1:1" x14ac:dyDescent="0.2">
      <c r="A450" s="88"/>
    </row>
    <row r="451" spans="1:1" x14ac:dyDescent="0.2">
      <c r="A451" s="88"/>
    </row>
    <row r="452" spans="1:1" x14ac:dyDescent="0.2">
      <c r="A452" s="88"/>
    </row>
    <row r="453" spans="1:1" x14ac:dyDescent="0.2">
      <c r="A453" s="88"/>
    </row>
    <row r="454" spans="1:1" x14ac:dyDescent="0.2">
      <c r="A454" s="88"/>
    </row>
    <row r="455" spans="1:1" x14ac:dyDescent="0.2">
      <c r="A455" s="88"/>
    </row>
    <row r="456" spans="1:1" x14ac:dyDescent="0.2">
      <c r="A456" s="88"/>
    </row>
    <row r="457" spans="1:1" x14ac:dyDescent="0.2">
      <c r="A457" s="88"/>
    </row>
    <row r="458" spans="1:1" x14ac:dyDescent="0.2">
      <c r="A458" s="88"/>
    </row>
    <row r="459" spans="1:1" x14ac:dyDescent="0.2">
      <c r="A459" s="88"/>
    </row>
    <row r="460" spans="1:1" x14ac:dyDescent="0.2">
      <c r="A460" s="88"/>
    </row>
    <row r="461" spans="1:1" x14ac:dyDescent="0.2">
      <c r="A461" s="88"/>
    </row>
    <row r="462" spans="1:1" x14ac:dyDescent="0.2">
      <c r="A462" s="88"/>
    </row>
    <row r="463" spans="1:1" x14ac:dyDescent="0.2">
      <c r="A463" s="88"/>
    </row>
    <row r="464" spans="1:1" x14ac:dyDescent="0.2">
      <c r="A464" s="88"/>
    </row>
    <row r="465" spans="1:1" x14ac:dyDescent="0.2">
      <c r="A465" s="88"/>
    </row>
    <row r="466" spans="1:1" x14ac:dyDescent="0.2">
      <c r="A466" s="88"/>
    </row>
    <row r="467" spans="1:1" x14ac:dyDescent="0.2">
      <c r="A467" s="88"/>
    </row>
    <row r="468" spans="1:1" x14ac:dyDescent="0.2">
      <c r="A468" s="88"/>
    </row>
    <row r="469" spans="1:1" x14ac:dyDescent="0.2">
      <c r="A469" s="88"/>
    </row>
    <row r="470" spans="1:1" x14ac:dyDescent="0.2">
      <c r="A470" s="88"/>
    </row>
    <row r="471" spans="1:1" x14ac:dyDescent="0.2">
      <c r="A471" s="88"/>
    </row>
    <row r="472" spans="1:1" x14ac:dyDescent="0.2">
      <c r="A472" s="88"/>
    </row>
    <row r="473" spans="1:1" x14ac:dyDescent="0.2">
      <c r="A473" s="88"/>
    </row>
    <row r="474" spans="1:1" x14ac:dyDescent="0.2">
      <c r="A474" s="88"/>
    </row>
    <row r="475" spans="1:1" x14ac:dyDescent="0.2">
      <c r="A475" s="88"/>
    </row>
    <row r="476" spans="1:1" x14ac:dyDescent="0.2">
      <c r="A476" s="88"/>
    </row>
    <row r="477" spans="1:1" x14ac:dyDescent="0.2">
      <c r="A477" s="88"/>
    </row>
    <row r="478" spans="1:1" x14ac:dyDescent="0.2">
      <c r="A478" s="88"/>
    </row>
    <row r="479" spans="1:1" x14ac:dyDescent="0.2">
      <c r="A479" s="88"/>
    </row>
    <row r="480" spans="1:1" x14ac:dyDescent="0.2">
      <c r="A480" s="88"/>
    </row>
    <row r="481" spans="1:1" x14ac:dyDescent="0.2">
      <c r="A481" s="88"/>
    </row>
    <row r="482" spans="1:1" x14ac:dyDescent="0.2">
      <c r="A482" s="88"/>
    </row>
    <row r="483" spans="1:1" x14ac:dyDescent="0.2">
      <c r="A483" s="88"/>
    </row>
    <row r="484" spans="1:1" x14ac:dyDescent="0.2">
      <c r="A484" s="88"/>
    </row>
    <row r="485" spans="1:1" x14ac:dyDescent="0.2">
      <c r="A485" s="88"/>
    </row>
    <row r="486" spans="1:1" x14ac:dyDescent="0.2">
      <c r="A486" s="88"/>
    </row>
    <row r="487" spans="1:1" x14ac:dyDescent="0.2">
      <c r="A487" s="88"/>
    </row>
    <row r="488" spans="1:1" x14ac:dyDescent="0.2">
      <c r="A488" s="88"/>
    </row>
    <row r="489" spans="1:1" x14ac:dyDescent="0.2">
      <c r="A489" s="88"/>
    </row>
    <row r="490" spans="1:1" x14ac:dyDescent="0.2">
      <c r="A490" s="88"/>
    </row>
    <row r="491" spans="1:1" x14ac:dyDescent="0.2">
      <c r="A491" s="88"/>
    </row>
    <row r="492" spans="1:1" x14ac:dyDescent="0.2">
      <c r="A492" s="88"/>
    </row>
    <row r="493" spans="1:1" x14ac:dyDescent="0.2">
      <c r="A493" s="88"/>
    </row>
    <row r="494" spans="1:1" x14ac:dyDescent="0.2">
      <c r="A494" s="88"/>
    </row>
    <row r="495" spans="1:1" x14ac:dyDescent="0.2">
      <c r="A495" s="88"/>
    </row>
    <row r="496" spans="1:1" x14ac:dyDescent="0.2">
      <c r="A496" s="88"/>
    </row>
    <row r="497" spans="1:1" x14ac:dyDescent="0.2">
      <c r="A497" s="88"/>
    </row>
    <row r="498" spans="1:1" x14ac:dyDescent="0.2">
      <c r="A498" s="88"/>
    </row>
    <row r="499" spans="1:1" x14ac:dyDescent="0.2">
      <c r="A499" s="88"/>
    </row>
    <row r="500" spans="1:1" x14ac:dyDescent="0.2">
      <c r="A500" s="88"/>
    </row>
    <row r="501" spans="1:1" x14ac:dyDescent="0.2">
      <c r="A501" s="88"/>
    </row>
    <row r="502" spans="1:1" x14ac:dyDescent="0.2">
      <c r="A502" s="88"/>
    </row>
    <row r="503" spans="1:1" x14ac:dyDescent="0.2">
      <c r="A503" s="88"/>
    </row>
    <row r="504" spans="1:1" x14ac:dyDescent="0.2">
      <c r="A504" s="88"/>
    </row>
    <row r="505" spans="1:1" x14ac:dyDescent="0.2">
      <c r="A505" s="88"/>
    </row>
    <row r="506" spans="1:1" x14ac:dyDescent="0.2">
      <c r="A506" s="88"/>
    </row>
    <row r="507" spans="1:1" x14ac:dyDescent="0.2">
      <c r="A507" s="88"/>
    </row>
    <row r="508" spans="1:1" x14ac:dyDescent="0.2">
      <c r="A508" s="88"/>
    </row>
    <row r="509" spans="1:1" x14ac:dyDescent="0.2">
      <c r="A509" s="88"/>
    </row>
    <row r="510" spans="1:1" x14ac:dyDescent="0.2">
      <c r="A510" s="88"/>
    </row>
    <row r="511" spans="1:1" x14ac:dyDescent="0.2">
      <c r="A511" s="88"/>
    </row>
    <row r="512" spans="1:1" x14ac:dyDescent="0.2">
      <c r="A512" s="88"/>
    </row>
    <row r="513" spans="1:1" x14ac:dyDescent="0.2">
      <c r="A513" s="88"/>
    </row>
    <row r="514" spans="1:1" x14ac:dyDescent="0.2">
      <c r="A514" s="88"/>
    </row>
    <row r="515" spans="1:1" x14ac:dyDescent="0.2">
      <c r="A515" s="88"/>
    </row>
    <row r="516" spans="1:1" x14ac:dyDescent="0.2">
      <c r="A516" s="88"/>
    </row>
    <row r="517" spans="1:1" x14ac:dyDescent="0.2">
      <c r="A517" s="88"/>
    </row>
    <row r="518" spans="1:1" x14ac:dyDescent="0.2">
      <c r="A518" s="88"/>
    </row>
    <row r="519" spans="1:1" x14ac:dyDescent="0.2">
      <c r="A519" s="88"/>
    </row>
    <row r="520" spans="1:1" x14ac:dyDescent="0.2">
      <c r="A520" s="88"/>
    </row>
    <row r="521" spans="1:1" x14ac:dyDescent="0.2">
      <c r="A521" s="88"/>
    </row>
    <row r="522" spans="1:1" x14ac:dyDescent="0.2">
      <c r="A522" s="88"/>
    </row>
  </sheetData>
  <mergeCells count="5">
    <mergeCell ref="D4:E4"/>
    <mergeCell ref="A4:A5"/>
    <mergeCell ref="B4:C4"/>
    <mergeCell ref="F4:G4"/>
    <mergeCell ref="A2:G2"/>
  </mergeCells>
  <phoneticPr fontId="0" type="noConversion"/>
  <pageMargins left="1.6535433070866143" right="0.94488188976377963" top="0.9055118110236221" bottom="0.39370078740157483" header="0" footer="0"/>
  <pageSetup paperSize="45" scale="90" orientation="landscape" horizont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37F2F-8FBF-40A4-B98B-43F658DE4CFE}">
  <dimension ref="A1:O7"/>
  <sheetViews>
    <sheetView tabSelected="1" workbookViewId="0">
      <selection activeCell="A2" sqref="A2:B2"/>
    </sheetView>
  </sheetViews>
  <sheetFormatPr baseColWidth="10" defaultRowHeight="12.75" x14ac:dyDescent="0.2"/>
  <cols>
    <col min="1" max="1" width="22.7109375" style="266" customWidth="1"/>
    <col min="2" max="2" width="118.42578125" customWidth="1"/>
    <col min="3" max="3" width="15" customWidth="1"/>
    <col min="4" max="5" width="12.7109375" bestFit="1" customWidth="1"/>
    <col min="6" max="6" width="13.28515625" customWidth="1"/>
    <col min="7" max="7" width="11.140625" bestFit="1" customWidth="1"/>
    <col min="8" max="11" width="11.7109375" bestFit="1" customWidth="1"/>
    <col min="12" max="12" width="12.7109375" bestFit="1" customWidth="1"/>
    <col min="13" max="13" width="11.7109375" bestFit="1" customWidth="1"/>
    <col min="14" max="15" width="12.7109375" style="265" bestFit="1" customWidth="1"/>
    <col min="16" max="17" width="11.7109375" bestFit="1" customWidth="1"/>
  </cols>
  <sheetData>
    <row r="1" spans="1:2" ht="13.5" thickBot="1" x14ac:dyDescent="0.25"/>
    <row r="2" spans="1:2" ht="20.25" customHeight="1" thickBot="1" x14ac:dyDescent="0.3">
      <c r="A2" s="276" t="s">
        <v>180</v>
      </c>
      <c r="B2" s="275"/>
    </row>
    <row r="3" spans="1:2" ht="18.75" thickBot="1" x14ac:dyDescent="0.3">
      <c r="A3" s="274" t="s">
        <v>1</v>
      </c>
      <c r="B3" s="273"/>
    </row>
    <row r="4" spans="1:2" ht="16.5" customHeight="1" thickBot="1" x14ac:dyDescent="0.25">
      <c r="A4" s="272"/>
      <c r="B4" s="271"/>
    </row>
    <row r="5" spans="1:2" ht="15.75" thickBot="1" x14ac:dyDescent="0.3">
      <c r="A5" s="270" t="s">
        <v>2</v>
      </c>
      <c r="B5" s="269" t="s">
        <v>3</v>
      </c>
    </row>
    <row r="6" spans="1:2" ht="24.95" customHeight="1" x14ac:dyDescent="0.2">
      <c r="A6" s="268" t="s">
        <v>10</v>
      </c>
      <c r="B6" s="267" t="s">
        <v>181</v>
      </c>
    </row>
    <row r="7" spans="1:2" ht="24.95" customHeight="1" x14ac:dyDescent="0.2">
      <c r="A7" s="268" t="s">
        <v>12</v>
      </c>
      <c r="B7" s="267" t="s">
        <v>182</v>
      </c>
    </row>
  </sheetData>
  <mergeCells count="2">
    <mergeCell ref="A3:B3"/>
    <mergeCell ref="A2:B2"/>
  </mergeCells>
  <hyperlinks>
    <hyperlink ref="B6" location="'4'!A1" display="EMPRESAS DE TRANSPORTE AEREO COMERCIAL TRONCAL  - ESTADOS FINANCIEROS CONSOLIDADOS  AÑO 2015 " xr:uid="{C289B24B-F09C-433B-8ED0-6987515E33DB}"/>
    <hyperlink ref="B7" location="'5'!A1" display="EMPRESAS DE TRANSPORTE AEREO   COMERCIAL TRONCAL - COEFICIENTES FINANCIEROS  - AÑO 2015" xr:uid="{9CBEAB14-AF8B-4CBD-A5AE-EC14062E3433}"/>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sheetPr>
  <dimension ref="A1:CM211"/>
  <sheetViews>
    <sheetView zoomScaleNormal="100" zoomScaleSheetLayoutView="40" workbookViewId="0">
      <pane xSplit="1" ySplit="4" topLeftCell="B5" activePane="bottomRight" state="frozen"/>
      <selection pane="topRight" activeCell="B1" sqref="B1"/>
      <selection pane="bottomLeft" activeCell="A6" sqref="A6"/>
      <selection pane="bottomRight" sqref="A1:U1"/>
    </sheetView>
  </sheetViews>
  <sheetFormatPr baseColWidth="10" defaultColWidth="15" defaultRowHeight="12" x14ac:dyDescent="0.2"/>
  <cols>
    <col min="1" max="1" width="45.85546875" style="81" customWidth="1"/>
    <col min="2" max="11" width="16.5703125" style="25" customWidth="1"/>
    <col min="12" max="21" width="16.5703125" style="81" customWidth="1"/>
    <col min="22" max="16384" width="15" style="81"/>
  </cols>
  <sheetData>
    <row r="1" spans="1:90" ht="24" customHeight="1" x14ac:dyDescent="0.2">
      <c r="A1" s="241" t="s">
        <v>92</v>
      </c>
      <c r="B1" s="245"/>
      <c r="C1" s="245"/>
      <c r="D1" s="245"/>
      <c r="E1" s="245"/>
      <c r="F1" s="245"/>
      <c r="G1" s="245"/>
      <c r="H1" s="245"/>
      <c r="I1" s="245"/>
      <c r="J1" s="245"/>
      <c r="K1" s="245"/>
      <c r="L1" s="245"/>
      <c r="M1" s="245"/>
      <c r="N1" s="245"/>
      <c r="O1" s="245"/>
      <c r="P1" s="245"/>
      <c r="Q1" s="245"/>
      <c r="R1" s="245"/>
      <c r="S1" s="245"/>
      <c r="T1" s="245"/>
      <c r="U1" s="242"/>
    </row>
    <row r="2" spans="1:90" ht="18" customHeight="1" x14ac:dyDescent="0.2">
      <c r="A2" s="81" t="s">
        <v>35</v>
      </c>
    </row>
    <row r="3" spans="1:90" s="63" customFormat="1" ht="21" customHeight="1" x14ac:dyDescent="0.2">
      <c r="A3" s="236" t="s">
        <v>36</v>
      </c>
      <c r="B3" s="244" t="s">
        <v>93</v>
      </c>
      <c r="C3" s="244"/>
      <c r="D3" s="244" t="s">
        <v>94</v>
      </c>
      <c r="E3" s="244"/>
      <c r="F3" s="242" t="s">
        <v>95</v>
      </c>
      <c r="G3" s="244"/>
      <c r="H3" s="244" t="s">
        <v>96</v>
      </c>
      <c r="I3" s="244"/>
      <c r="J3" s="244" t="s">
        <v>97</v>
      </c>
      <c r="K3" s="244"/>
      <c r="L3" s="241" t="s">
        <v>98</v>
      </c>
      <c r="M3" s="242"/>
      <c r="N3" s="244" t="s">
        <v>99</v>
      </c>
      <c r="O3" s="244"/>
      <c r="P3" s="244" t="s">
        <v>100</v>
      </c>
      <c r="Q3" s="244"/>
      <c r="R3" s="244" t="s">
        <v>101</v>
      </c>
      <c r="S3" s="244"/>
      <c r="T3" s="244" t="s">
        <v>102</v>
      </c>
      <c r="U3" s="244"/>
      <c r="V3" s="65"/>
      <c r="W3" s="240"/>
      <c r="X3" s="240"/>
      <c r="Y3" s="247"/>
      <c r="Z3" s="247"/>
      <c r="AA3" s="248"/>
      <c r="AB3" s="248"/>
      <c r="AC3" s="240"/>
      <c r="AD3" s="240"/>
      <c r="AE3" s="240"/>
      <c r="AF3" s="240"/>
      <c r="AG3" s="243"/>
      <c r="AH3" s="243"/>
      <c r="AI3" s="240"/>
      <c r="AJ3" s="240"/>
      <c r="AK3" s="243"/>
      <c r="AL3" s="243"/>
      <c r="AM3" s="240"/>
      <c r="AN3" s="240"/>
      <c r="AO3" s="240"/>
      <c r="AP3" s="240"/>
      <c r="AQ3" s="240"/>
      <c r="AR3" s="240"/>
      <c r="AS3" s="240"/>
      <c r="AT3" s="240"/>
      <c r="AU3" s="240"/>
      <c r="AV3" s="240"/>
      <c r="AW3" s="240"/>
      <c r="AX3" s="240"/>
      <c r="AY3" s="240"/>
      <c r="AZ3" s="240"/>
      <c r="BA3" s="243"/>
      <c r="BB3" s="243"/>
      <c r="BC3" s="240"/>
      <c r="BD3" s="240"/>
      <c r="BE3" s="243"/>
      <c r="BF3" s="243"/>
      <c r="BG3" s="240"/>
      <c r="BH3" s="240"/>
      <c r="BI3" s="240"/>
      <c r="BJ3" s="240"/>
      <c r="BK3" s="240"/>
      <c r="BL3" s="240"/>
      <c r="BM3" s="240"/>
      <c r="BN3" s="240"/>
      <c r="BO3" s="240"/>
      <c r="BP3" s="240"/>
      <c r="BQ3" s="243"/>
      <c r="BR3" s="243"/>
      <c r="BS3" s="240"/>
      <c r="BT3" s="240"/>
      <c r="BU3" s="240"/>
      <c r="BV3" s="240"/>
      <c r="BW3" s="240"/>
      <c r="BX3" s="240"/>
      <c r="BY3" s="240"/>
      <c r="BZ3" s="240"/>
      <c r="CA3" s="240"/>
      <c r="CB3" s="240"/>
      <c r="CC3" s="240"/>
      <c r="CD3" s="240"/>
      <c r="CE3" s="240"/>
      <c r="CF3" s="240"/>
      <c r="CG3" s="240"/>
      <c r="CH3" s="240"/>
      <c r="CI3" s="240"/>
      <c r="CJ3" s="240"/>
      <c r="CK3" s="240"/>
      <c r="CL3" s="240"/>
    </row>
    <row r="4" spans="1:90" s="63" customFormat="1" ht="18.75" customHeight="1" x14ac:dyDescent="0.2">
      <c r="A4" s="246"/>
      <c r="B4" s="159">
        <v>2022</v>
      </c>
      <c r="C4" s="159">
        <v>2023</v>
      </c>
      <c r="D4" s="159">
        <v>2022</v>
      </c>
      <c r="E4" s="159">
        <v>2023</v>
      </c>
      <c r="F4" s="158">
        <v>2022</v>
      </c>
      <c r="G4" s="159">
        <v>2023</v>
      </c>
      <c r="H4" s="159">
        <v>2022</v>
      </c>
      <c r="I4" s="159">
        <v>2023</v>
      </c>
      <c r="J4" s="159">
        <v>2022</v>
      </c>
      <c r="K4" s="159">
        <v>2023</v>
      </c>
      <c r="L4" s="159">
        <v>2022</v>
      </c>
      <c r="M4" s="159">
        <v>2023</v>
      </c>
      <c r="N4" s="159">
        <v>2022</v>
      </c>
      <c r="O4" s="159">
        <v>2023</v>
      </c>
      <c r="P4" s="159">
        <v>2022</v>
      </c>
      <c r="Q4" s="159">
        <v>2023</v>
      </c>
      <c r="R4" s="159">
        <v>2022</v>
      </c>
      <c r="S4" s="159">
        <v>2023</v>
      </c>
      <c r="T4" s="159">
        <v>2022</v>
      </c>
      <c r="U4" s="159">
        <v>2023</v>
      </c>
    </row>
    <row r="5" spans="1:90" s="79" customFormat="1" ht="18.75" customHeight="1" x14ac:dyDescent="0.2">
      <c r="A5" s="79" t="s">
        <v>39</v>
      </c>
      <c r="B5" s="294"/>
      <c r="C5" s="296"/>
      <c r="D5" s="294"/>
      <c r="E5" s="296"/>
      <c r="F5" s="294"/>
      <c r="G5" s="296"/>
      <c r="H5" s="294"/>
      <c r="I5" s="296"/>
      <c r="J5" s="294"/>
      <c r="K5" s="296"/>
      <c r="L5" s="294"/>
      <c r="M5" s="296"/>
      <c r="N5" s="294"/>
      <c r="O5" s="296"/>
      <c r="P5" s="294"/>
      <c r="Q5" s="296"/>
      <c r="R5" s="294"/>
      <c r="S5" s="296"/>
      <c r="T5" s="294"/>
      <c r="U5" s="296"/>
      <c r="V5" s="25"/>
    </row>
    <row r="6" spans="1:90" s="79" customFormat="1" ht="18.75" customHeight="1" x14ac:dyDescent="0.2">
      <c r="A6" s="85" t="s">
        <v>40</v>
      </c>
      <c r="B6" s="294"/>
      <c r="C6" s="297"/>
      <c r="D6" s="294"/>
      <c r="E6" s="297"/>
      <c r="F6" s="295"/>
      <c r="G6" s="297"/>
      <c r="H6" s="294"/>
      <c r="I6" s="297"/>
      <c r="J6" s="294"/>
      <c r="K6" s="297"/>
      <c r="L6" s="294"/>
      <c r="M6" s="297"/>
      <c r="N6" s="294"/>
      <c r="O6" s="297"/>
      <c r="P6" s="294"/>
      <c r="Q6" s="297"/>
      <c r="R6" s="294"/>
      <c r="S6" s="297"/>
      <c r="T6" s="294"/>
      <c r="U6" s="297"/>
      <c r="V6" s="25"/>
    </row>
    <row r="7" spans="1:90" s="25" customFormat="1" ht="18.75" customHeight="1" x14ac:dyDescent="0.2">
      <c r="A7" s="25" t="s">
        <v>41</v>
      </c>
      <c r="B7" s="280">
        <f>+D7+F7+H7+J7+L7+N7+P7+R7+T7</f>
        <v>5826531326.8319998</v>
      </c>
      <c r="C7" s="280">
        <f>+E7+G7+I7+K7+M7+O7+Q7+S7+U7</f>
        <v>5395306187.0889997</v>
      </c>
      <c r="D7" s="281">
        <v>323417897</v>
      </c>
      <c r="E7" s="281">
        <v>316527379</v>
      </c>
      <c r="F7" s="281">
        <v>924846233</v>
      </c>
      <c r="G7" s="281">
        <v>998100719</v>
      </c>
      <c r="H7" s="281">
        <v>4164545964</v>
      </c>
      <c r="I7" s="281">
        <v>3898088375</v>
      </c>
      <c r="J7" s="281">
        <v>72564699</v>
      </c>
      <c r="K7" s="282">
        <v>49750649</v>
      </c>
      <c r="L7" s="283"/>
      <c r="M7" s="282"/>
      <c r="N7" s="282">
        <v>208554442</v>
      </c>
      <c r="O7" s="283"/>
      <c r="P7" s="282">
        <f>152046832/1000</f>
        <v>152046.83199999999</v>
      </c>
      <c r="Q7" s="282">
        <f>306682573/1000</f>
        <v>306682.57299999997</v>
      </c>
      <c r="R7" s="283">
        <v>20538045</v>
      </c>
      <c r="S7" s="283">
        <v>14559549</v>
      </c>
      <c r="T7" s="283">
        <v>111912000</v>
      </c>
      <c r="U7" s="283">
        <v>117972833.516</v>
      </c>
    </row>
    <row r="8" spans="1:90" s="25" customFormat="1" ht="18.75" customHeight="1" x14ac:dyDescent="0.2">
      <c r="A8" s="25" t="s">
        <v>42</v>
      </c>
      <c r="B8" s="280">
        <f>+D8+F8+H8+J8+L8+N8+P8+R8+T8</f>
        <v>14894332134.986</v>
      </c>
      <c r="C8" s="280">
        <f>+E8+G8+I8+K8+M8+O8+Q8+S8+U8</f>
        <v>14123598448.982</v>
      </c>
      <c r="D8" s="281">
        <v>486338240</v>
      </c>
      <c r="E8" s="281">
        <v>385439722</v>
      </c>
      <c r="F8" s="281">
        <v>16735590</v>
      </c>
      <c r="G8" s="281">
        <v>18499181</v>
      </c>
      <c r="H8" s="281">
        <v>13722425274</v>
      </c>
      <c r="I8" s="281">
        <v>13557049597</v>
      </c>
      <c r="J8" s="281">
        <v>10337846</v>
      </c>
      <c r="K8" s="282">
        <v>6168967</v>
      </c>
      <c r="L8" s="283"/>
      <c r="M8" s="282"/>
      <c r="N8" s="282">
        <v>485117377</v>
      </c>
      <c r="O8" s="283"/>
      <c r="P8" s="282">
        <f>63343986/1000</f>
        <v>63343.985999999997</v>
      </c>
      <c r="Q8" s="282">
        <f>59953488/1000</f>
        <v>59953.487999999998</v>
      </c>
      <c r="R8" s="283">
        <v>6645464</v>
      </c>
      <c r="S8" s="283">
        <v>6468734</v>
      </c>
      <c r="T8" s="283">
        <v>166669000</v>
      </c>
      <c r="U8" s="283">
        <v>149912294.49400002</v>
      </c>
    </row>
    <row r="9" spans="1:90" s="79" customFormat="1" ht="18.75" customHeight="1" x14ac:dyDescent="0.2">
      <c r="A9" s="277" t="s">
        <v>43</v>
      </c>
      <c r="B9" s="216">
        <f>+B7+B8</f>
        <v>20720863461.818001</v>
      </c>
      <c r="C9" s="216">
        <f>+C7+C8</f>
        <v>19518904636.070999</v>
      </c>
      <c r="D9" s="284">
        <v>809756137</v>
      </c>
      <c r="E9" s="284">
        <f>E7+E8</f>
        <v>701967101</v>
      </c>
      <c r="F9" s="284">
        <v>941581823</v>
      </c>
      <c r="G9" s="284">
        <f>+G7+G8</f>
        <v>1016599900</v>
      </c>
      <c r="H9" s="284">
        <v>17886971238</v>
      </c>
      <c r="I9" s="284">
        <f t="shared" ref="I9:M9" si="0">I7+I8</f>
        <v>17455137972</v>
      </c>
      <c r="J9" s="284">
        <v>82902545</v>
      </c>
      <c r="K9" s="285">
        <f t="shared" si="0"/>
        <v>55919616</v>
      </c>
      <c r="L9" s="285">
        <f t="shared" si="0"/>
        <v>0</v>
      </c>
      <c r="M9" s="285">
        <f t="shared" si="0"/>
        <v>0</v>
      </c>
      <c r="N9" s="285">
        <v>693671819</v>
      </c>
      <c r="O9" s="285"/>
      <c r="P9" s="285">
        <f>215390818/1000</f>
        <v>215390.818</v>
      </c>
      <c r="Q9" s="285">
        <f>+Q7+Q8</f>
        <v>366636.06099999999</v>
      </c>
      <c r="R9" s="285">
        <v>27183509</v>
      </c>
      <c r="S9" s="285">
        <f>+S7+S8</f>
        <v>21028283</v>
      </c>
      <c r="T9" s="285">
        <v>278581000</v>
      </c>
      <c r="U9" s="285">
        <f>+U7+U8</f>
        <v>267885128.01000002</v>
      </c>
    </row>
    <row r="10" spans="1:90" s="25" customFormat="1" ht="18.75" customHeight="1" x14ac:dyDescent="0.2">
      <c r="A10" s="85" t="s">
        <v>44</v>
      </c>
      <c r="B10" s="280"/>
      <c r="C10" s="280"/>
      <c r="D10" s="281"/>
      <c r="E10" s="281"/>
      <c r="F10" s="281"/>
      <c r="G10" s="281"/>
      <c r="H10" s="286"/>
      <c r="I10" s="281"/>
      <c r="J10" s="286"/>
      <c r="K10" s="282"/>
      <c r="L10" s="283"/>
      <c r="M10" s="282"/>
      <c r="N10" s="282"/>
      <c r="O10" s="283"/>
      <c r="P10" s="282"/>
      <c r="Q10" s="282"/>
      <c r="R10" s="282"/>
      <c r="S10" s="282"/>
      <c r="T10" s="282"/>
      <c r="U10" s="282"/>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row>
    <row r="11" spans="1:90" s="25" customFormat="1" ht="18.75" customHeight="1" x14ac:dyDescent="0.2">
      <c r="A11" s="25" t="s">
        <v>45</v>
      </c>
      <c r="B11" s="280">
        <f>+D11+F11+H11+J11+L11+N11+P11+R11+T11</f>
        <v>12604347726.749001</v>
      </c>
      <c r="C11" s="280">
        <f>+E11+G11+I11+K11+M11+O11+Q11+S11+U11</f>
        <v>11070693245.853001</v>
      </c>
      <c r="D11" s="281">
        <v>544935559</v>
      </c>
      <c r="E11" s="281">
        <v>503137996</v>
      </c>
      <c r="F11" s="281">
        <v>1424364780</v>
      </c>
      <c r="G11" s="281">
        <v>1006650076</v>
      </c>
      <c r="H11" s="281">
        <v>10308873170</v>
      </c>
      <c r="I11" s="278">
        <v>9332246938</v>
      </c>
      <c r="J11" s="281">
        <v>135780557</v>
      </c>
      <c r="K11" s="282">
        <v>97777885</v>
      </c>
      <c r="L11" s="283"/>
      <c r="M11" s="282"/>
      <c r="N11" s="282">
        <v>82401878</v>
      </c>
      <c r="O11" s="283"/>
      <c r="P11" s="282">
        <f>1895942749/1000</f>
        <v>1895942.7490000001</v>
      </c>
      <c r="Q11" s="282">
        <f>1237795485/1000</f>
        <v>1237795.4850000001</v>
      </c>
      <c r="R11" s="282">
        <v>18309840</v>
      </c>
      <c r="S11" s="282">
        <v>18442556</v>
      </c>
      <c r="T11" s="282">
        <v>87786000</v>
      </c>
      <c r="U11" s="282">
        <v>111199999.368</v>
      </c>
    </row>
    <row r="12" spans="1:90" s="25" customFormat="1" ht="18.75" customHeight="1" x14ac:dyDescent="0.2">
      <c r="A12" s="83" t="s">
        <v>46</v>
      </c>
      <c r="B12" s="280">
        <f>+D12+F12+H12+J12+L12+N12+P12+R12+T12</f>
        <v>9988646040</v>
      </c>
      <c r="C12" s="280">
        <f>+E12+G12+I12+K12+M12+O12+Q12+S12+U12</f>
        <v>9927613145.625</v>
      </c>
      <c r="D12" s="281">
        <v>278264130</v>
      </c>
      <c r="E12" s="281">
        <v>214949384</v>
      </c>
      <c r="F12" s="281">
        <v>10876565</v>
      </c>
      <c r="G12" s="281">
        <v>9582143</v>
      </c>
      <c r="H12" s="281">
        <v>9024779254</v>
      </c>
      <c r="I12" s="278">
        <v>9528106760</v>
      </c>
      <c r="J12" s="281">
        <v>6580974</v>
      </c>
      <c r="K12" s="282">
        <v>6735110</v>
      </c>
      <c r="L12" s="283"/>
      <c r="M12" s="282"/>
      <c r="N12" s="282">
        <v>483239209</v>
      </c>
      <c r="O12" s="283"/>
      <c r="P12" s="282">
        <v>0</v>
      </c>
      <c r="Q12" s="282">
        <v>0</v>
      </c>
      <c r="R12" s="282">
        <v>2563908</v>
      </c>
      <c r="S12" s="282">
        <v>0</v>
      </c>
      <c r="T12" s="282">
        <v>182342000</v>
      </c>
      <c r="U12" s="282">
        <v>168239748.625</v>
      </c>
    </row>
    <row r="13" spans="1:90" s="79" customFormat="1" ht="18.75" customHeight="1" x14ac:dyDescent="0.2">
      <c r="A13" s="277" t="s">
        <v>47</v>
      </c>
      <c r="B13" s="216">
        <f>+B11+B12</f>
        <v>22592993766.749001</v>
      </c>
      <c r="C13" s="216">
        <f>+C11+C12</f>
        <v>20998306391.478001</v>
      </c>
      <c r="D13" s="284">
        <v>823199689</v>
      </c>
      <c r="E13" s="284">
        <f>E11+E12</f>
        <v>718087380</v>
      </c>
      <c r="F13" s="284">
        <v>1435241345</v>
      </c>
      <c r="G13" s="284">
        <f t="shared" ref="G13:M13" si="1">+G11+G12</f>
        <v>1016232219</v>
      </c>
      <c r="H13" s="284">
        <v>19333652424</v>
      </c>
      <c r="I13" s="284">
        <f t="shared" si="1"/>
        <v>18860353698</v>
      </c>
      <c r="J13" s="284">
        <v>142361531</v>
      </c>
      <c r="K13" s="285">
        <f t="shared" si="1"/>
        <v>104512995</v>
      </c>
      <c r="L13" s="285">
        <f t="shared" si="1"/>
        <v>0</v>
      </c>
      <c r="M13" s="285">
        <f t="shared" si="1"/>
        <v>0</v>
      </c>
      <c r="N13" s="285">
        <v>565641087</v>
      </c>
      <c r="O13" s="285"/>
      <c r="P13" s="285">
        <f>1895942749/1000</f>
        <v>1895942.7490000001</v>
      </c>
      <c r="Q13" s="285">
        <f>+Q11</f>
        <v>1237795.4850000001</v>
      </c>
      <c r="R13" s="285">
        <v>20873748</v>
      </c>
      <c r="S13" s="285">
        <f>+S11+S12</f>
        <v>18442556</v>
      </c>
      <c r="T13" s="285">
        <v>270128000</v>
      </c>
      <c r="U13" s="285">
        <f t="shared" ref="U13" si="2">+U11+U12</f>
        <v>279439747.99300003</v>
      </c>
    </row>
    <row r="14" spans="1:90" s="25" customFormat="1" ht="18.75" customHeight="1" x14ac:dyDescent="0.2">
      <c r="A14" s="85" t="s">
        <v>48</v>
      </c>
      <c r="B14" s="280"/>
      <c r="C14" s="280"/>
      <c r="D14" s="281"/>
      <c r="E14" s="281"/>
      <c r="F14" s="278"/>
      <c r="G14" s="278"/>
      <c r="H14" s="281"/>
      <c r="I14" s="281"/>
      <c r="J14" s="281"/>
      <c r="K14" s="282"/>
      <c r="L14" s="283"/>
      <c r="M14" s="282"/>
      <c r="N14" s="283"/>
      <c r="O14" s="283"/>
      <c r="P14" s="283"/>
      <c r="Q14" s="282"/>
      <c r="R14" s="282"/>
      <c r="S14" s="282"/>
      <c r="T14" s="282"/>
      <c r="U14" s="282"/>
      <c r="V14" s="113"/>
      <c r="W14" s="113"/>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row>
    <row r="15" spans="1:90" s="25" customFormat="1" ht="18.75" customHeight="1" x14ac:dyDescent="0.2">
      <c r="A15" s="25" t="s">
        <v>49</v>
      </c>
      <c r="B15" s="280">
        <f>+D15+F15+H15+J15+L15+N15+P15+R15+T15</f>
        <v>2708398944</v>
      </c>
      <c r="C15" s="280">
        <f>+E15+G15+I15+K15+M15+O15+Q15+S15+U15</f>
        <v>2699611274</v>
      </c>
      <c r="D15" s="281">
        <v>7479681</v>
      </c>
      <c r="E15" s="281">
        <v>7479681</v>
      </c>
      <c r="F15" s="281">
        <v>5251548</v>
      </c>
      <c r="G15" s="281">
        <v>5251548</v>
      </c>
      <c r="H15" s="286">
        <v>2604329245</v>
      </c>
      <c r="I15" s="286">
        <v>2604329245</v>
      </c>
      <c r="J15" s="286">
        <v>368800</v>
      </c>
      <c r="K15" s="283">
        <v>368800</v>
      </c>
      <c r="L15" s="283"/>
      <c r="M15" s="282"/>
      <c r="N15" s="283">
        <v>9587670</v>
      </c>
      <c r="O15" s="283"/>
      <c r="P15" s="282">
        <f>200000000/1000</f>
        <v>200000</v>
      </c>
      <c r="Q15" s="282">
        <f>1000000</f>
        <v>1000000</v>
      </c>
      <c r="R15" s="282">
        <v>5000000</v>
      </c>
      <c r="S15" s="282">
        <v>5000000</v>
      </c>
      <c r="T15" s="282">
        <v>76182000</v>
      </c>
      <c r="U15" s="282">
        <v>76182000</v>
      </c>
    </row>
    <row r="16" spans="1:90" s="79" customFormat="1" ht="18.75" customHeight="1" x14ac:dyDescent="0.2">
      <c r="A16" s="25" t="s">
        <v>50</v>
      </c>
      <c r="B16" s="280">
        <f>+D16+F16+H16+J16+L16+N16+P16+R16+T16</f>
        <v>18498617</v>
      </c>
      <c r="C16" s="280">
        <f>+E16+G16+I16+K16+M16+O16+Q16+S16+U16</f>
        <v>9794300</v>
      </c>
      <c r="D16" s="278">
        <v>5000000</v>
      </c>
      <c r="E16" s="278">
        <v>5000000</v>
      </c>
      <c r="F16" s="278">
        <v>1062265</v>
      </c>
      <c r="G16" s="278">
        <v>1062265</v>
      </c>
      <c r="H16" s="278"/>
      <c r="I16" s="278"/>
      <c r="J16" s="278"/>
      <c r="K16" s="282"/>
      <c r="L16" s="283"/>
      <c r="M16" s="282"/>
      <c r="N16" s="283">
        <v>8704317</v>
      </c>
      <c r="O16" s="283"/>
      <c r="P16" s="282"/>
      <c r="Q16" s="282"/>
      <c r="R16" s="282">
        <v>2340035</v>
      </c>
      <c r="S16" s="282">
        <v>2340035</v>
      </c>
      <c r="T16" s="282">
        <v>1392000</v>
      </c>
      <c r="U16" s="282">
        <v>1392000</v>
      </c>
    </row>
    <row r="17" spans="1:90" s="25" customFormat="1" ht="18.75" customHeight="1" x14ac:dyDescent="0.2">
      <c r="A17" s="25" t="s">
        <v>51</v>
      </c>
      <c r="B17" s="280">
        <f>+D17+F17+H17+J17+L17+N17+P17+R17+T17</f>
        <v>328076128</v>
      </c>
      <c r="C17" s="280">
        <f>+E17+G17+I17+K17+M17+O17+Q17+S17+U17</f>
        <v>543084950.08700001</v>
      </c>
      <c r="D17" s="278"/>
      <c r="E17" s="278"/>
      <c r="F17" s="278"/>
      <c r="G17" s="278"/>
      <c r="H17" s="278">
        <v>409494173</v>
      </c>
      <c r="I17" s="278">
        <v>620237570</v>
      </c>
      <c r="J17" s="278">
        <v>-15405045</v>
      </c>
      <c r="K17" s="283">
        <v>-7859965</v>
      </c>
      <c r="L17" s="283"/>
      <c r="M17" s="282"/>
      <c r="N17" s="283"/>
      <c r="O17" s="283"/>
      <c r="P17" s="282"/>
      <c r="Q17" s="282"/>
      <c r="R17" s="282"/>
      <c r="S17" s="282"/>
      <c r="T17" s="282">
        <v>-66013000</v>
      </c>
      <c r="U17" s="282">
        <v>-69292654.913000003</v>
      </c>
    </row>
    <row r="18" spans="1:90" s="79" customFormat="1" ht="18.75" customHeight="1" x14ac:dyDescent="0.2">
      <c r="A18" s="25" t="s">
        <v>52</v>
      </c>
      <c r="B18" s="280">
        <f>+D18+F18+H18+J18+L18+N18+P18+R18+T18</f>
        <v>1349378252</v>
      </c>
      <c r="C18" s="280">
        <f>+E18+G18+I18+K18+M18+O18+Q18+S18+U18</f>
        <v>1890478771</v>
      </c>
      <c r="D18" s="278">
        <v>152232359</v>
      </c>
      <c r="E18" s="278">
        <v>152232359</v>
      </c>
      <c r="F18" s="278">
        <v>1142643936</v>
      </c>
      <c r="G18" s="278">
        <v>1719509709</v>
      </c>
      <c r="H18" s="278">
        <v>8936703</v>
      </c>
      <c r="I18" s="278">
        <v>8936703</v>
      </c>
      <c r="J18" s="278">
        <v>5800000</v>
      </c>
      <c r="K18" s="283">
        <v>5800000</v>
      </c>
      <c r="L18" s="283"/>
      <c r="M18" s="282"/>
      <c r="N18" s="283">
        <v>35765254</v>
      </c>
      <c r="O18" s="283"/>
      <c r="P18" s="282"/>
      <c r="Q18" s="282"/>
      <c r="R18" s="282">
        <v>4000000</v>
      </c>
      <c r="S18" s="282">
        <v>4000000</v>
      </c>
      <c r="T18" s="282"/>
      <c r="U18" s="282"/>
    </row>
    <row r="19" spans="1:90" s="79" customFormat="1" ht="18.75" customHeight="1" x14ac:dyDescent="0.2">
      <c r="A19" s="25" t="s">
        <v>53</v>
      </c>
      <c r="B19" s="280">
        <f>+D19+F19+H19+J19+L19+N19+P19+R19+T19</f>
        <v>199772818</v>
      </c>
      <c r="C19" s="280">
        <f>+E19+G19+I19+K19+M19+O19+Q19+S19+U19</f>
        <v>0</v>
      </c>
      <c r="D19" s="281"/>
      <c r="E19" s="281"/>
      <c r="F19" s="281"/>
      <c r="G19" s="281"/>
      <c r="H19" s="281"/>
      <c r="I19" s="281"/>
      <c r="J19" s="281"/>
      <c r="K19" s="282"/>
      <c r="L19" s="283"/>
      <c r="M19" s="282"/>
      <c r="N19" s="283">
        <v>199772818</v>
      </c>
      <c r="O19" s="283"/>
      <c r="P19" s="282"/>
      <c r="Q19" s="282"/>
      <c r="R19" s="282"/>
      <c r="S19" s="282"/>
      <c r="T19" s="282"/>
      <c r="U19" s="282"/>
    </row>
    <row r="20" spans="1:90" s="25" customFormat="1" ht="18.75" customHeight="1" x14ac:dyDescent="0.2">
      <c r="A20" s="25" t="s">
        <v>54</v>
      </c>
      <c r="B20" s="287">
        <f>+D20+F20+H20+J20+L20+N20+P20+R20+T20</f>
        <v>68468.094999999739</v>
      </c>
      <c r="C20" s="287">
        <f>+E20+G20+I20+K20+M20+O20+Q20+S20+U20</f>
        <v>-104921701.126</v>
      </c>
      <c r="D20" s="278"/>
      <c r="E20" s="278">
        <v>515492</v>
      </c>
      <c r="F20" s="278"/>
      <c r="G20" s="278">
        <v>-82838580</v>
      </c>
      <c r="H20" s="278"/>
      <c r="I20" s="278"/>
      <c r="J20" s="286"/>
      <c r="K20" s="282"/>
      <c r="L20" s="283"/>
      <c r="M20" s="282"/>
      <c r="N20" s="282">
        <v>3565428</v>
      </c>
      <c r="O20" s="283"/>
      <c r="P20" s="282">
        <f>+-1341959905/1000</f>
        <v>-1341959.905</v>
      </c>
      <c r="Q20" s="282">
        <f>9392506/1000</f>
        <v>9392.5059999999994</v>
      </c>
      <c r="R20" s="282"/>
      <c r="S20" s="282">
        <v>-3724034</v>
      </c>
      <c r="T20" s="282">
        <v>-2155000</v>
      </c>
      <c r="U20" s="282">
        <v>-18883971.631999999</v>
      </c>
    </row>
    <row r="21" spans="1:90" s="25" customFormat="1" ht="18.75" customHeight="1" x14ac:dyDescent="0.2">
      <c r="A21" s="25" t="s">
        <v>55</v>
      </c>
      <c r="B21" s="287">
        <f>+D21+F21+H21+J21+L21+N21+P21+R21+T21</f>
        <v>-6091931710.026</v>
      </c>
      <c r="C21" s="287">
        <f>+E21+G21+I21+K21+M21+O21+Q21+S21+U21</f>
        <v>-6277368692.9300003</v>
      </c>
      <c r="D21" s="278">
        <v>-192777623</v>
      </c>
      <c r="E21" s="278">
        <v>-192777623</v>
      </c>
      <c r="F21" s="278">
        <v>-1642617271</v>
      </c>
      <c r="G21" s="278">
        <v>-1642617271</v>
      </c>
      <c r="H21" s="278">
        <v>-4200745209</v>
      </c>
      <c r="I21" s="278">
        <v>-4388160759</v>
      </c>
      <c r="J21" s="278">
        <v>-50222741</v>
      </c>
      <c r="K21" s="283">
        <v>-46902214</v>
      </c>
      <c r="L21" s="283"/>
      <c r="M21" s="282"/>
      <c r="N21" s="283"/>
      <c r="O21" s="283"/>
      <c r="P21" s="282">
        <f>+-538592026/1000</f>
        <v>-538592.02599999995</v>
      </c>
      <c r="Q21" s="282">
        <f>+-1880551930/1000</f>
        <v>-1880551.93</v>
      </c>
      <c r="R21" s="282">
        <v>-5030274</v>
      </c>
      <c r="S21" s="282">
        <v>-5030274</v>
      </c>
      <c r="T21" s="282"/>
      <c r="U21" s="282"/>
    </row>
    <row r="22" spans="1:90" s="25" customFormat="1" ht="18.75" customHeight="1" x14ac:dyDescent="0.2">
      <c r="A22" s="25" t="s">
        <v>56</v>
      </c>
      <c r="B22" s="287">
        <f>+D22+F22+H22+J22+L22+N22+P22+R22+T22</f>
        <v>-10156668</v>
      </c>
      <c r="C22" s="287">
        <f>+E22+G22+I22+K22+M22+O22+Q22+S22+U22</f>
        <v>0</v>
      </c>
      <c r="D22" s="278"/>
      <c r="E22" s="281"/>
      <c r="F22" s="281">
        <v>0</v>
      </c>
      <c r="G22" s="281">
        <v>0</v>
      </c>
      <c r="H22" s="278"/>
      <c r="I22" s="278"/>
      <c r="J22" s="281"/>
      <c r="K22" s="282"/>
      <c r="L22" s="282"/>
      <c r="M22" s="282"/>
      <c r="N22" s="282">
        <v>-10156668</v>
      </c>
      <c r="O22" s="282"/>
      <c r="P22" s="282"/>
      <c r="Q22" s="282"/>
      <c r="R22" s="282"/>
      <c r="S22" s="282"/>
      <c r="T22" s="282"/>
      <c r="U22" s="282"/>
      <c r="V22" s="113"/>
    </row>
    <row r="23" spans="1:90" s="25" customFormat="1" ht="18.75" customHeight="1" x14ac:dyDescent="0.2">
      <c r="A23" s="25" t="s">
        <v>57</v>
      </c>
      <c r="B23" s="280">
        <f>+D23+F23+H23+J23+L23+N23+P23+R23+T23</f>
        <v>0</v>
      </c>
      <c r="C23" s="287">
        <f>+E23+G23+I23+K23+M23+O23+Q23+S23+U23</f>
        <v>0</v>
      </c>
      <c r="D23" s="278"/>
      <c r="E23" s="278"/>
      <c r="F23" s="278"/>
      <c r="G23" s="278"/>
      <c r="H23" s="278"/>
      <c r="I23" s="278"/>
      <c r="J23" s="278"/>
      <c r="K23" s="283"/>
      <c r="L23" s="283"/>
      <c r="M23" s="282"/>
      <c r="N23" s="282"/>
      <c r="O23" s="282"/>
      <c r="P23" s="282"/>
      <c r="Q23" s="283"/>
      <c r="R23" s="282"/>
      <c r="S23" s="282"/>
      <c r="T23" s="282"/>
      <c r="U23" s="282"/>
      <c r="V23" s="113"/>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row>
    <row r="24" spans="1:90" s="25" customFormat="1" ht="18.75" customHeight="1" x14ac:dyDescent="0.2">
      <c r="A24" s="25" t="s">
        <v>58</v>
      </c>
      <c r="B24" s="287">
        <f>+D24+F24+H24+J24+L24+N24+P24+R24+T24</f>
        <v>-374235154</v>
      </c>
      <c r="C24" s="287">
        <f>+E24+G24+I24+K24+M24+O24+Q24+S24+U24</f>
        <v>-240081673</v>
      </c>
      <c r="D24" s="278">
        <v>14622031</v>
      </c>
      <c r="E24" s="278">
        <v>11429812</v>
      </c>
      <c r="F24" s="278"/>
      <c r="G24" s="278"/>
      <c r="H24" s="278">
        <v>-268696098</v>
      </c>
      <c r="I24" s="278">
        <v>-250558485</v>
      </c>
      <c r="J24" s="278"/>
      <c r="K24" s="283"/>
      <c r="L24" s="283"/>
      <c r="M24" s="282"/>
      <c r="N24" s="282">
        <v>-119208087</v>
      </c>
      <c r="O24" s="282"/>
      <c r="P24" s="282"/>
      <c r="Q24" s="283"/>
      <c r="R24" s="282"/>
      <c r="S24" s="282"/>
      <c r="T24" s="282">
        <v>-953000</v>
      </c>
      <c r="U24" s="282">
        <v>-953000</v>
      </c>
      <c r="V24" s="113"/>
    </row>
    <row r="25" spans="1:90" s="79" customFormat="1" ht="18.75" customHeight="1" x14ac:dyDescent="0.2">
      <c r="A25" s="277" t="s">
        <v>59</v>
      </c>
      <c r="B25" s="212">
        <f>SUM(B15:B24)</f>
        <v>-1872130304.9309998</v>
      </c>
      <c r="C25" s="212">
        <f>SUM(C15:C24)</f>
        <v>-1479402771.9690008</v>
      </c>
      <c r="D25" s="288">
        <v>-13443552</v>
      </c>
      <c r="E25" s="155">
        <f t="shared" ref="E25:I25" si="3">SUM(E15:E24)</f>
        <v>-16120279</v>
      </c>
      <c r="F25" s="155">
        <v>-493659522</v>
      </c>
      <c r="G25" s="155">
        <f t="shared" si="3"/>
        <v>367671</v>
      </c>
      <c r="H25" s="155">
        <v>-1446681186</v>
      </c>
      <c r="I25" s="155">
        <f t="shared" si="3"/>
        <v>-1405215726</v>
      </c>
      <c r="J25" s="155">
        <v>-59458986</v>
      </c>
      <c r="K25" s="289">
        <f t="shared" ref="K25:L25" si="4">SUM(K15:K24)</f>
        <v>-48593379</v>
      </c>
      <c r="L25" s="289">
        <f t="shared" si="4"/>
        <v>0</v>
      </c>
      <c r="M25" s="289">
        <f>SUM(M15:M24)</f>
        <v>0</v>
      </c>
      <c r="N25" s="289">
        <v>128030732</v>
      </c>
      <c r="O25" s="289"/>
      <c r="P25" s="289">
        <f>+-1680551931/1000</f>
        <v>-1680551.9310000001</v>
      </c>
      <c r="Q25" s="289">
        <f>SUM(Q14:Q24)</f>
        <v>-871159.42399999988</v>
      </c>
      <c r="R25" s="289">
        <v>6309761</v>
      </c>
      <c r="S25" s="289">
        <f>+SUM(S14:S24)</f>
        <v>2585727</v>
      </c>
      <c r="T25" s="289">
        <v>8453000</v>
      </c>
      <c r="U25" s="289">
        <f>SUM(U14:U24)</f>
        <v>-11555626.545000002</v>
      </c>
    </row>
    <row r="26" spans="1:90" s="79" customFormat="1" ht="18.75" customHeight="1" x14ac:dyDescent="0.2">
      <c r="A26" s="277" t="s">
        <v>60</v>
      </c>
      <c r="B26" s="212">
        <f>+B25+B13</f>
        <v>20720863461.818001</v>
      </c>
      <c r="C26" s="212">
        <f>+C25+C13</f>
        <v>19518903619.508999</v>
      </c>
      <c r="D26" s="288">
        <v>809756137</v>
      </c>
      <c r="E26" s="288">
        <f t="shared" ref="E26:L26" si="5">+E25+E13</f>
        <v>701967101</v>
      </c>
      <c r="F26" s="288">
        <v>941581823</v>
      </c>
      <c r="G26" s="288">
        <f t="shared" si="5"/>
        <v>1016599890</v>
      </c>
      <c r="H26" s="288">
        <v>17886971238</v>
      </c>
      <c r="I26" s="288">
        <f t="shared" si="5"/>
        <v>17455137972</v>
      </c>
      <c r="J26" s="288">
        <v>82902545</v>
      </c>
      <c r="K26" s="289">
        <f t="shared" si="5"/>
        <v>55919616</v>
      </c>
      <c r="L26" s="289">
        <f t="shared" si="5"/>
        <v>0</v>
      </c>
      <c r="M26" s="289">
        <f>+M25+M13</f>
        <v>0</v>
      </c>
      <c r="N26" s="289">
        <v>693671819</v>
      </c>
      <c r="O26" s="289"/>
      <c r="P26" s="289">
        <f>215390818/1000</f>
        <v>215390.818</v>
      </c>
      <c r="Q26" s="289">
        <f>+Q25+Q13</f>
        <v>366636.06100000022</v>
      </c>
      <c r="R26" s="289">
        <v>27183509</v>
      </c>
      <c r="S26" s="289">
        <f>+S25+S13</f>
        <v>21028283</v>
      </c>
      <c r="T26" s="289">
        <v>278581000</v>
      </c>
      <c r="U26" s="289">
        <f t="shared" ref="U26" si="6">+U13+U25</f>
        <v>267884121.44800001</v>
      </c>
    </row>
    <row r="27" spans="1:90" s="25" customFormat="1" ht="18.75" customHeight="1" x14ac:dyDescent="0.2">
      <c r="A27" s="83" t="s">
        <v>61</v>
      </c>
      <c r="B27" s="280">
        <f>+D27+F27+H27+J27+L27+N27+P27+R27+T27</f>
        <v>14693399954.721001</v>
      </c>
      <c r="C27" s="280">
        <f>+E27+G27+I27+K27+M27+O27+Q27+S27+U27</f>
        <v>8208400314.8950005</v>
      </c>
      <c r="D27" s="278">
        <v>658117553</v>
      </c>
      <c r="E27" s="278">
        <v>368479827</v>
      </c>
      <c r="F27" s="278">
        <v>1712904569</v>
      </c>
      <c r="G27" s="278">
        <v>995863044</v>
      </c>
      <c r="H27" s="278">
        <v>11260338556</v>
      </c>
      <c r="I27" s="278">
        <v>6525448372</v>
      </c>
      <c r="J27" s="278">
        <v>195473514</v>
      </c>
      <c r="K27" s="283">
        <v>115883798</v>
      </c>
      <c r="L27" s="282"/>
      <c r="M27" s="282"/>
      <c r="N27" s="283">
        <v>493702641</v>
      </c>
      <c r="O27" s="283"/>
      <c r="P27" s="283">
        <v>1695087.7209999999</v>
      </c>
      <c r="Q27" s="283">
        <f>1947201472/1000</f>
        <v>1947201.4720000001</v>
      </c>
      <c r="R27" s="282">
        <v>100523034</v>
      </c>
      <c r="S27" s="282">
        <v>40027375</v>
      </c>
      <c r="T27" s="282">
        <v>270645000</v>
      </c>
      <c r="U27" s="283">
        <v>160750697.42300001</v>
      </c>
    </row>
    <row r="28" spans="1:90" s="25" customFormat="1" ht="18.75" customHeight="1" x14ac:dyDescent="0.2">
      <c r="A28" s="83" t="s">
        <v>62</v>
      </c>
      <c r="B28" s="280">
        <f>+D28+F28+H28+J28+L28+N28+P28+R28+T28</f>
        <v>521646055.23400003</v>
      </c>
      <c r="C28" s="280">
        <f>+E28+G28+I28+K28+M28+O28+Q28+S28+U28</f>
        <v>41809966.946000002</v>
      </c>
      <c r="D28" s="278"/>
      <c r="E28" s="278"/>
      <c r="F28" s="278"/>
      <c r="G28" s="278"/>
      <c r="H28" s="278"/>
      <c r="I28" s="278"/>
      <c r="J28" s="278"/>
      <c r="K28" s="283"/>
      <c r="L28" s="282"/>
      <c r="M28" s="282"/>
      <c r="N28" s="283">
        <v>436028846</v>
      </c>
      <c r="O28" s="283"/>
      <c r="P28" s="283">
        <f>2611835234/1000</f>
        <v>2611835.2340000002</v>
      </c>
      <c r="Q28" s="283">
        <f>1724319946/1000</f>
        <v>1724319.946</v>
      </c>
      <c r="R28" s="282">
        <v>83005374</v>
      </c>
      <c r="S28" s="282">
        <v>40085647</v>
      </c>
      <c r="T28" s="282"/>
      <c r="U28" s="283"/>
    </row>
    <row r="29" spans="1:90" s="25" customFormat="1" ht="18.75" customHeight="1" x14ac:dyDescent="0.2">
      <c r="A29" s="25" t="s">
        <v>63</v>
      </c>
      <c r="B29" s="280">
        <f>+D29+F29+H29+J29+L29+N29+P29+R29+T29</f>
        <v>14835955738.065001</v>
      </c>
      <c r="C29" s="280">
        <f>+E29+G29+I29+K29+M29+O29+Q29+S29+U29</f>
        <v>7879627340.4750004</v>
      </c>
      <c r="D29" s="278">
        <v>690488679</v>
      </c>
      <c r="E29" s="278">
        <v>380521553</v>
      </c>
      <c r="F29" s="278">
        <v>2078383462</v>
      </c>
      <c r="G29" s="278">
        <v>1073850707</v>
      </c>
      <c r="H29" s="278">
        <v>11516997208</v>
      </c>
      <c r="I29" s="278">
        <v>6099626970</v>
      </c>
      <c r="J29" s="278">
        <v>182683711</v>
      </c>
      <c r="K29" s="283">
        <v>106169672</v>
      </c>
      <c r="L29" s="282"/>
      <c r="M29" s="282"/>
      <c r="N29" s="283">
        <v>26753054</v>
      </c>
      <c r="O29" s="283"/>
      <c r="P29" s="283">
        <f>421624065/1000</f>
        <v>421624.065</v>
      </c>
      <c r="Q29" s="283">
        <f>211273366/1000</f>
        <v>211273.36600000001</v>
      </c>
      <c r="R29" s="290"/>
      <c r="S29" s="290">
        <v>5146460</v>
      </c>
      <c r="T29" s="283">
        <v>340228000</v>
      </c>
      <c r="U29" s="283">
        <v>214100705.10900003</v>
      </c>
    </row>
    <row r="30" spans="1:90" s="79" customFormat="1" ht="18.75" customHeight="1" x14ac:dyDescent="0.2">
      <c r="A30" s="277" t="s">
        <v>64</v>
      </c>
      <c r="B30" s="48">
        <f>+B27-B28-B29</f>
        <v>-664201838.57799911</v>
      </c>
      <c r="C30" s="48">
        <f>+C27-C28-C29</f>
        <v>286963007.47399998</v>
      </c>
      <c r="D30" s="288">
        <v>-32371126</v>
      </c>
      <c r="E30" s="155">
        <f>+E27-E28-E29</f>
        <v>-12041726</v>
      </c>
      <c r="F30" s="155">
        <f>+F27-F29</f>
        <v>-365478893</v>
      </c>
      <c r="G30" s="155">
        <f t="shared" ref="G30:M30" si="7">+G27-G28-G29</f>
        <v>-77987663</v>
      </c>
      <c r="H30" s="155">
        <v>-256658652</v>
      </c>
      <c r="I30" s="155">
        <f t="shared" si="7"/>
        <v>425821402</v>
      </c>
      <c r="J30" s="155">
        <v>12789803</v>
      </c>
      <c r="K30" s="289">
        <f t="shared" si="7"/>
        <v>9714126</v>
      </c>
      <c r="L30" s="289">
        <f t="shared" si="7"/>
        <v>0</v>
      </c>
      <c r="M30" s="289">
        <f t="shared" si="7"/>
        <v>0</v>
      </c>
      <c r="N30" s="289">
        <v>30920741</v>
      </c>
      <c r="O30" s="289"/>
      <c r="P30" s="289">
        <f>+P27-P28-P29</f>
        <v>-1338371.5780000002</v>
      </c>
      <c r="Q30" s="289">
        <f>+Q27-Q28-Q29</f>
        <v>11608.160000000062</v>
      </c>
      <c r="R30" s="289">
        <v>17517660</v>
      </c>
      <c r="S30" s="289">
        <f>+S27-S28-S29</f>
        <v>-5204732</v>
      </c>
      <c r="T30" s="289">
        <f>+T27-T29</f>
        <v>-69583000</v>
      </c>
      <c r="U30" s="289">
        <f>+U27-U28-U29</f>
        <v>-53350007.686000019</v>
      </c>
    </row>
    <row r="31" spans="1:90" s="25" customFormat="1" ht="18.75" customHeight="1" x14ac:dyDescent="0.2">
      <c r="A31" s="25" t="s">
        <v>65</v>
      </c>
      <c r="B31" s="280">
        <f>+D31+F31+H31+J31+L31+N31+P31+R31+T31</f>
        <v>300055102.56799996</v>
      </c>
      <c r="C31" s="280">
        <f>+E31+G31+I31+K31+M31+O31+Q31+S31+U31</f>
        <v>143885567.07099998</v>
      </c>
      <c r="D31" s="286">
        <v>7946681</v>
      </c>
      <c r="E31" s="286">
        <v>17999069</v>
      </c>
      <c r="F31" s="286">
        <v>692648</v>
      </c>
      <c r="G31" s="286">
        <v>6002128</v>
      </c>
      <c r="H31" s="291">
        <v>197316722</v>
      </c>
      <c r="I31" s="291">
        <f>13365340+62125464</f>
        <v>75490804</v>
      </c>
      <c r="J31" s="291">
        <v>4173155</v>
      </c>
      <c r="K31" s="282">
        <v>135825</v>
      </c>
      <c r="L31" s="282"/>
      <c r="M31" s="282"/>
      <c r="N31" s="283">
        <v>30658756</v>
      </c>
      <c r="O31" s="283"/>
      <c r="P31" s="282">
        <v>20.568000000000001</v>
      </c>
      <c r="Q31" s="282">
        <v>3.5419999999999998</v>
      </c>
      <c r="R31" s="282">
        <v>470120</v>
      </c>
      <c r="S31" s="282">
        <f>102055+2093617</f>
        <v>2195672</v>
      </c>
      <c r="T31" s="283">
        <v>58797000</v>
      </c>
      <c r="U31" s="283">
        <v>42062065.528999999</v>
      </c>
    </row>
    <row r="32" spans="1:90" s="25" customFormat="1" ht="18.75" customHeight="1" x14ac:dyDescent="0.2">
      <c r="A32" s="25" t="s">
        <v>66</v>
      </c>
      <c r="B32" s="280">
        <f>+D32+F32+H32+J32+L32+N32+P32+R32+T32</f>
        <v>859225101.32700002</v>
      </c>
      <c r="C32" s="280">
        <f>+E32+G32+I32+K32+M32+O32+Q32+S32+U32</f>
        <v>698797974.72099996</v>
      </c>
      <c r="D32" s="286">
        <v>6486924</v>
      </c>
      <c r="E32" s="286">
        <v>6169137</v>
      </c>
      <c r="F32" s="286">
        <v>58067028</v>
      </c>
      <c r="G32" s="286">
        <f>10897308</f>
        <v>10897308</v>
      </c>
      <c r="H32" s="291">
        <v>737408395</v>
      </c>
      <c r="I32" s="291">
        <f>(-547466200-142830982)*-1</f>
        <v>690297182</v>
      </c>
      <c r="J32" s="291">
        <v>184902</v>
      </c>
      <c r="K32" s="282">
        <f>-247881-1673929</f>
        <v>-1921810</v>
      </c>
      <c r="L32" s="282"/>
      <c r="M32" s="282"/>
      <c r="N32" s="283">
        <v>33659544</v>
      </c>
      <c r="O32" s="283"/>
      <c r="P32" s="283">
        <f>3588327/1000</f>
        <v>3588.3270000000002</v>
      </c>
      <c r="Q32" s="282">
        <f>2219196/1000</f>
        <v>2219.1959999999999</v>
      </c>
      <c r="R32" s="282">
        <v>14783720</v>
      </c>
      <c r="S32" s="282">
        <f>218041+731927</f>
        <v>949968</v>
      </c>
      <c r="T32" s="282">
        <v>8631000</v>
      </c>
      <c r="U32" s="282">
        <v>-7596029.4749999996</v>
      </c>
    </row>
    <row r="33" spans="1:23" s="79" customFormat="1" ht="18.75" customHeight="1" x14ac:dyDescent="0.2">
      <c r="A33" s="114" t="s">
        <v>67</v>
      </c>
      <c r="B33" s="292">
        <f>+B30+B31-B32</f>
        <v>-1223371837.3369992</v>
      </c>
      <c r="C33" s="292">
        <f>+C30+C31-C32</f>
        <v>-267949400.176</v>
      </c>
      <c r="D33" s="293">
        <v>-30911369</v>
      </c>
      <c r="E33" s="293">
        <f t="shared" ref="E33" si="8">+E30+E31-E32</f>
        <v>-211794</v>
      </c>
      <c r="F33" s="293">
        <f>+F30+F31-F32</f>
        <v>-422853273</v>
      </c>
      <c r="G33" s="293">
        <f>+G30+G31-G32</f>
        <v>-82882843</v>
      </c>
      <c r="H33" s="293">
        <v>-796750325</v>
      </c>
      <c r="I33" s="293">
        <f>+I30+I31-I32</f>
        <v>-188984976</v>
      </c>
      <c r="J33" s="293">
        <v>16778056</v>
      </c>
      <c r="K33" s="290">
        <f>+K30+K31+K32</f>
        <v>7928141</v>
      </c>
      <c r="L33" s="290"/>
      <c r="M33" s="290"/>
      <c r="N33" s="290">
        <v>27919953</v>
      </c>
      <c r="O33" s="290"/>
      <c r="P33" s="290">
        <f>P30+P31-P32</f>
        <v>-1341939.3370000003</v>
      </c>
      <c r="Q33" s="290">
        <f>+Q30+Q31-Q32</f>
        <v>9392.5060000000612</v>
      </c>
      <c r="R33" s="290">
        <v>3204060</v>
      </c>
      <c r="S33" s="290">
        <f>+S30+S31-S32</f>
        <v>-3959028</v>
      </c>
      <c r="T33" s="290">
        <v>-2155000</v>
      </c>
      <c r="U33" s="290">
        <f>+U30+U31+U32</f>
        <v>-18883971.632000022</v>
      </c>
    </row>
    <row r="34" spans="1:23" s="25" customFormat="1" ht="18.75" customHeight="1" x14ac:dyDescent="0.2">
      <c r="A34" s="25" t="s">
        <v>68</v>
      </c>
      <c r="B34" s="280">
        <f>+D34+F34+H34+J34+L34+N34+P34+R34+T34</f>
        <v>-36757542</v>
      </c>
      <c r="C34" s="287">
        <f>+E34+G34+I34+K34+M34+O34+Q34+S34+U34</f>
        <v>-3530480</v>
      </c>
      <c r="D34" s="278">
        <v>-433961</v>
      </c>
      <c r="E34" s="278">
        <v>-727286</v>
      </c>
      <c r="F34" s="279">
        <v>0</v>
      </c>
      <c r="G34" s="279">
        <v>0</v>
      </c>
      <c r="H34" s="278">
        <v>-4463262</v>
      </c>
      <c r="I34" s="278">
        <v>1569426</v>
      </c>
      <c r="J34" s="278">
        <v>-4921398</v>
      </c>
      <c r="K34" s="283">
        <f>-678678-3928936</f>
        <v>-4607614</v>
      </c>
      <c r="L34" s="282"/>
      <c r="M34" s="282"/>
      <c r="N34" s="282">
        <v>-24354526</v>
      </c>
      <c r="O34" s="282"/>
      <c r="P34" s="282">
        <v>0</v>
      </c>
      <c r="Q34" s="282">
        <v>0</v>
      </c>
      <c r="R34" s="282">
        <v>-2584395</v>
      </c>
      <c r="S34" s="282">
        <v>234994</v>
      </c>
      <c r="T34" s="282">
        <v>0</v>
      </c>
      <c r="U34" s="282">
        <v>0</v>
      </c>
    </row>
    <row r="35" spans="1:23" s="79" customFormat="1" ht="18.75" customHeight="1" x14ac:dyDescent="0.2">
      <c r="A35" s="277" t="s">
        <v>69</v>
      </c>
      <c r="B35" s="48">
        <f t="shared" ref="B35:G35" si="9">+B33-B34</f>
        <v>-1186614295.3369992</v>
      </c>
      <c r="C35" s="48">
        <f t="shared" si="9"/>
        <v>-264418920.176</v>
      </c>
      <c r="D35" s="155">
        <v>-30477408</v>
      </c>
      <c r="E35" s="155">
        <f t="shared" si="9"/>
        <v>515492</v>
      </c>
      <c r="F35" s="155">
        <f>+F33+F34</f>
        <v>-422853273</v>
      </c>
      <c r="G35" s="155">
        <f t="shared" si="9"/>
        <v>-82882843</v>
      </c>
      <c r="H35" s="155">
        <v>-801213587</v>
      </c>
      <c r="I35" s="155">
        <f>+I33+I34</f>
        <v>-187415550</v>
      </c>
      <c r="J35" s="155">
        <v>11856658</v>
      </c>
      <c r="K35" s="289">
        <f>+K33+K34</f>
        <v>3320527</v>
      </c>
      <c r="L35" s="289">
        <f>+L33-L34</f>
        <v>0</v>
      </c>
      <c r="M35" s="289">
        <f>+M33-M34</f>
        <v>0</v>
      </c>
      <c r="N35" s="289">
        <v>3565427</v>
      </c>
      <c r="O35" s="289"/>
      <c r="P35" s="289">
        <f>+-1341959905/1000</f>
        <v>-1341959.905</v>
      </c>
      <c r="Q35" s="289">
        <f>+Q33+Q34</f>
        <v>9392.5060000000612</v>
      </c>
      <c r="R35" s="289">
        <v>619665</v>
      </c>
      <c r="S35" s="289">
        <f>+S33++S34</f>
        <v>-3724034</v>
      </c>
      <c r="T35" s="289">
        <v>-2155000</v>
      </c>
      <c r="U35" s="289">
        <f>+U33-U34</f>
        <v>-18883971.632000022</v>
      </c>
    </row>
    <row r="36" spans="1:23" s="79" customFormat="1" ht="30.75" customHeight="1" x14ac:dyDescent="0.2">
      <c r="A36" s="298" t="s">
        <v>183</v>
      </c>
      <c r="B36" s="115">
        <f t="shared" ref="B36:O36" si="10">+B9-B26</f>
        <v>0</v>
      </c>
      <c r="C36" s="115">
        <f t="shared" si="10"/>
        <v>1016.5620002746582</v>
      </c>
      <c r="D36" s="115">
        <f t="shared" si="10"/>
        <v>0</v>
      </c>
      <c r="E36" s="115">
        <f t="shared" si="10"/>
        <v>0</v>
      </c>
      <c r="F36" s="115">
        <f t="shared" si="10"/>
        <v>0</v>
      </c>
      <c r="G36" s="115">
        <f t="shared" si="10"/>
        <v>10</v>
      </c>
      <c r="H36" s="115">
        <v>0</v>
      </c>
      <c r="I36" s="115">
        <f t="shared" si="10"/>
        <v>0</v>
      </c>
      <c r="J36" s="115">
        <f t="shared" si="10"/>
        <v>0</v>
      </c>
      <c r="K36" s="224">
        <f t="shared" si="10"/>
        <v>0</v>
      </c>
      <c r="L36" s="224">
        <f t="shared" si="10"/>
        <v>0</v>
      </c>
      <c r="M36" s="224">
        <f t="shared" si="10"/>
        <v>0</v>
      </c>
      <c r="N36" s="224">
        <v>0</v>
      </c>
      <c r="O36" s="224">
        <f t="shared" si="10"/>
        <v>0</v>
      </c>
      <c r="P36" s="224">
        <v>0</v>
      </c>
      <c r="Q36" s="224"/>
      <c r="R36" s="224">
        <v>0</v>
      </c>
      <c r="S36" s="224"/>
      <c r="T36" s="224">
        <v>0</v>
      </c>
      <c r="U36" s="224">
        <f>+U9-U26</f>
        <v>1006.5620000064373</v>
      </c>
      <c r="V36" s="115"/>
      <c r="W36" s="115"/>
    </row>
    <row r="37" spans="1:23" ht="30.75" customHeight="1" x14ac:dyDescent="0.2">
      <c r="A37" s="298"/>
      <c r="B37" s="116"/>
      <c r="C37" s="116"/>
      <c r="D37" s="117" t="s">
        <v>103</v>
      </c>
      <c r="E37" s="116"/>
      <c r="F37" s="117" t="s">
        <v>103</v>
      </c>
      <c r="G37" s="118"/>
      <c r="H37" s="117" t="s">
        <v>103</v>
      </c>
      <c r="I37" s="118"/>
      <c r="J37" s="117" t="s">
        <v>103</v>
      </c>
      <c r="K37" s="118"/>
      <c r="L37" s="119"/>
      <c r="M37" s="119"/>
      <c r="N37" s="117" t="s">
        <v>103</v>
      </c>
      <c r="O37" s="119"/>
      <c r="P37" s="117" t="s">
        <v>103</v>
      </c>
      <c r="Q37" s="119"/>
      <c r="R37" s="117" t="s">
        <v>103</v>
      </c>
      <c r="S37" s="117"/>
      <c r="T37" s="117" t="s">
        <v>104</v>
      </c>
      <c r="U37" s="117"/>
    </row>
    <row r="38" spans="1:23" ht="56.25" customHeight="1" x14ac:dyDescent="0.2">
      <c r="A38" s="298" t="s">
        <v>184</v>
      </c>
      <c r="B38" s="79"/>
      <c r="C38" s="79"/>
      <c r="D38" s="79"/>
      <c r="E38" s="79"/>
    </row>
    <row r="39" spans="1:23" ht="68.25" customHeight="1" x14ac:dyDescent="0.2">
      <c r="A39" s="298"/>
      <c r="B39" s="79"/>
      <c r="C39" s="79"/>
      <c r="D39" s="79"/>
      <c r="E39" s="79"/>
    </row>
    <row r="40" spans="1:23" ht="46.5" customHeight="1" x14ac:dyDescent="0.2">
      <c r="A40" s="123" t="s">
        <v>105</v>
      </c>
      <c r="B40" s="120"/>
      <c r="C40" s="120"/>
      <c r="D40" s="120"/>
      <c r="E40" s="120"/>
      <c r="F40" s="112"/>
      <c r="G40" s="112"/>
      <c r="H40" s="112"/>
      <c r="I40" s="112"/>
      <c r="J40" s="112"/>
      <c r="K40" s="112"/>
      <c r="L40" s="121"/>
      <c r="M40" s="121"/>
      <c r="N40" s="121"/>
      <c r="O40" s="121"/>
      <c r="P40" s="121"/>
      <c r="Q40" s="121"/>
    </row>
    <row r="41" spans="1:23" x14ac:dyDescent="0.2">
      <c r="A41" s="80"/>
      <c r="B41" s="79"/>
      <c r="C41" s="79"/>
      <c r="D41" s="79"/>
      <c r="E41" s="79"/>
    </row>
    <row r="42" spans="1:23" x14ac:dyDescent="0.2">
      <c r="A42" s="80"/>
      <c r="B42" s="79"/>
      <c r="C42" s="79"/>
      <c r="D42" s="79"/>
      <c r="E42" s="79"/>
    </row>
    <row r="43" spans="1:23" x14ac:dyDescent="0.2">
      <c r="A43" s="80"/>
      <c r="B43" s="79"/>
      <c r="C43" s="79"/>
      <c r="D43" s="79"/>
      <c r="E43" s="79"/>
    </row>
    <row r="44" spans="1:23" x14ac:dyDescent="0.2">
      <c r="A44" s="80"/>
      <c r="B44" s="79"/>
      <c r="C44" s="79"/>
      <c r="D44" s="79"/>
      <c r="E44" s="79"/>
    </row>
    <row r="45" spans="1:23" x14ac:dyDescent="0.2">
      <c r="A45" s="80"/>
      <c r="B45" s="79"/>
      <c r="C45" s="79"/>
      <c r="D45" s="79"/>
      <c r="E45" s="79"/>
    </row>
    <row r="46" spans="1:23" x14ac:dyDescent="0.2">
      <c r="A46" s="80"/>
      <c r="B46" s="79"/>
      <c r="C46" s="79"/>
      <c r="D46" s="79"/>
      <c r="E46" s="79"/>
    </row>
    <row r="47" spans="1:23" x14ac:dyDescent="0.2">
      <c r="A47" s="80"/>
      <c r="B47" s="79"/>
      <c r="C47" s="79"/>
      <c r="D47" s="79"/>
      <c r="E47" s="79"/>
    </row>
    <row r="48" spans="1:23" x14ac:dyDescent="0.2">
      <c r="A48" s="80"/>
      <c r="B48" s="79"/>
      <c r="C48" s="79"/>
      <c r="D48" s="79"/>
      <c r="E48" s="79"/>
    </row>
    <row r="49" spans="1:5" x14ac:dyDescent="0.2">
      <c r="A49" s="80"/>
      <c r="B49" s="79"/>
      <c r="C49" s="79"/>
      <c r="D49" s="79"/>
      <c r="E49" s="79"/>
    </row>
    <row r="50" spans="1:5" x14ac:dyDescent="0.2">
      <c r="A50" s="80"/>
      <c r="B50" s="79"/>
      <c r="C50" s="79"/>
      <c r="D50" s="79"/>
      <c r="E50" s="79"/>
    </row>
    <row r="51" spans="1:5" x14ac:dyDescent="0.2">
      <c r="A51" s="80"/>
      <c r="B51" s="79"/>
      <c r="C51" s="79"/>
      <c r="D51" s="79"/>
      <c r="E51" s="79"/>
    </row>
    <row r="52" spans="1:5" x14ac:dyDescent="0.2">
      <c r="A52" s="80"/>
      <c r="B52" s="79"/>
      <c r="C52" s="79"/>
      <c r="D52" s="79"/>
      <c r="E52" s="79"/>
    </row>
    <row r="53" spans="1:5" x14ac:dyDescent="0.2">
      <c r="A53" s="80"/>
      <c r="B53" s="79"/>
      <c r="C53" s="79"/>
      <c r="D53" s="79"/>
      <c r="E53" s="79"/>
    </row>
    <row r="54" spans="1:5" x14ac:dyDescent="0.2">
      <c r="A54" s="80"/>
      <c r="B54" s="79"/>
      <c r="C54" s="79"/>
      <c r="D54" s="79"/>
      <c r="E54" s="79"/>
    </row>
    <row r="55" spans="1:5" x14ac:dyDescent="0.2">
      <c r="A55" s="80"/>
      <c r="B55" s="79"/>
      <c r="C55" s="79"/>
      <c r="D55" s="79"/>
      <c r="E55" s="79"/>
    </row>
    <row r="56" spans="1:5" x14ac:dyDescent="0.2">
      <c r="A56" s="80"/>
      <c r="B56" s="79"/>
      <c r="C56" s="79"/>
      <c r="D56" s="79"/>
      <c r="E56" s="79"/>
    </row>
    <row r="57" spans="1:5" x14ac:dyDescent="0.2">
      <c r="A57" s="80"/>
      <c r="B57" s="79"/>
      <c r="C57" s="79"/>
      <c r="D57" s="79"/>
      <c r="E57" s="79"/>
    </row>
    <row r="58" spans="1:5" x14ac:dyDescent="0.2">
      <c r="A58" s="80"/>
      <c r="B58" s="79"/>
      <c r="C58" s="79"/>
      <c r="D58" s="79"/>
      <c r="E58" s="79"/>
    </row>
    <row r="59" spans="1:5" x14ac:dyDescent="0.2">
      <c r="A59" s="80"/>
      <c r="B59" s="79"/>
      <c r="C59" s="79"/>
      <c r="D59" s="79"/>
      <c r="E59" s="79"/>
    </row>
    <row r="60" spans="1:5" x14ac:dyDescent="0.2">
      <c r="A60" s="80"/>
      <c r="B60" s="79"/>
      <c r="C60" s="79"/>
      <c r="D60" s="79"/>
      <c r="E60" s="79"/>
    </row>
    <row r="61" spans="1:5" x14ac:dyDescent="0.2">
      <c r="A61" s="80"/>
      <c r="B61" s="79"/>
      <c r="C61" s="79"/>
      <c r="D61" s="79"/>
      <c r="E61" s="79"/>
    </row>
    <row r="62" spans="1:5" x14ac:dyDescent="0.2">
      <c r="A62" s="80"/>
      <c r="B62" s="79"/>
      <c r="C62" s="79"/>
      <c r="D62" s="79"/>
      <c r="E62" s="79"/>
    </row>
    <row r="63" spans="1:5" x14ac:dyDescent="0.2">
      <c r="A63" s="80"/>
      <c r="B63" s="79"/>
      <c r="C63" s="79"/>
      <c r="D63" s="79"/>
      <c r="E63" s="79"/>
    </row>
    <row r="64" spans="1:5" x14ac:dyDescent="0.2">
      <c r="A64" s="80"/>
      <c r="B64" s="79"/>
      <c r="C64" s="79"/>
      <c r="D64" s="79"/>
      <c r="E64" s="79"/>
    </row>
    <row r="65" spans="1:5" x14ac:dyDescent="0.2">
      <c r="A65" s="80"/>
      <c r="B65" s="79"/>
      <c r="C65" s="79"/>
      <c r="D65" s="79"/>
      <c r="E65" s="79"/>
    </row>
    <row r="66" spans="1:5" x14ac:dyDescent="0.2">
      <c r="A66" s="80"/>
      <c r="B66" s="79"/>
      <c r="C66" s="79"/>
      <c r="D66" s="79"/>
      <c r="E66" s="79"/>
    </row>
    <row r="67" spans="1:5" x14ac:dyDescent="0.2">
      <c r="A67" s="80"/>
      <c r="B67" s="79"/>
      <c r="C67" s="79"/>
      <c r="D67" s="79"/>
      <c r="E67" s="79"/>
    </row>
    <row r="68" spans="1:5" x14ac:dyDescent="0.2">
      <c r="A68" s="80"/>
      <c r="B68" s="79"/>
      <c r="C68" s="79"/>
      <c r="D68" s="79"/>
      <c r="E68" s="79"/>
    </row>
    <row r="69" spans="1:5" x14ac:dyDescent="0.2">
      <c r="A69" s="80"/>
      <c r="B69" s="79"/>
      <c r="C69" s="79"/>
      <c r="D69" s="79"/>
      <c r="E69" s="79"/>
    </row>
    <row r="70" spans="1:5" x14ac:dyDescent="0.2">
      <c r="A70" s="80"/>
      <c r="B70" s="79"/>
      <c r="C70" s="79"/>
      <c r="D70" s="79"/>
      <c r="E70" s="79"/>
    </row>
    <row r="71" spans="1:5" x14ac:dyDescent="0.2">
      <c r="A71" s="80"/>
      <c r="B71" s="79"/>
      <c r="C71" s="79"/>
      <c r="D71" s="79"/>
      <c r="E71" s="79"/>
    </row>
    <row r="72" spans="1:5" x14ac:dyDescent="0.2">
      <c r="A72" s="80"/>
      <c r="B72" s="79"/>
      <c r="C72" s="79"/>
      <c r="D72" s="79"/>
      <c r="E72" s="79"/>
    </row>
    <row r="73" spans="1:5" x14ac:dyDescent="0.2">
      <c r="A73" s="80"/>
      <c r="B73" s="79"/>
      <c r="C73" s="79"/>
      <c r="D73" s="79"/>
      <c r="E73" s="79"/>
    </row>
    <row r="74" spans="1:5" x14ac:dyDescent="0.2">
      <c r="A74" s="80"/>
      <c r="B74" s="79"/>
      <c r="C74" s="79"/>
      <c r="D74" s="79"/>
      <c r="E74" s="79"/>
    </row>
    <row r="75" spans="1:5" x14ac:dyDescent="0.2">
      <c r="A75" s="80"/>
      <c r="B75" s="79"/>
      <c r="C75" s="79"/>
      <c r="D75" s="79"/>
      <c r="E75" s="79"/>
    </row>
    <row r="76" spans="1:5" x14ac:dyDescent="0.2">
      <c r="A76" s="80"/>
      <c r="B76" s="79"/>
      <c r="C76" s="79"/>
      <c r="D76" s="79"/>
      <c r="E76" s="79"/>
    </row>
    <row r="77" spans="1:5" x14ac:dyDescent="0.2">
      <c r="A77" s="80"/>
      <c r="B77" s="79"/>
      <c r="C77" s="79"/>
      <c r="D77" s="79"/>
      <c r="E77" s="79"/>
    </row>
    <row r="78" spans="1:5" x14ac:dyDescent="0.2">
      <c r="A78" s="80"/>
      <c r="B78" s="79"/>
      <c r="C78" s="79"/>
      <c r="D78" s="79"/>
      <c r="E78" s="79"/>
    </row>
    <row r="79" spans="1:5" x14ac:dyDescent="0.2">
      <c r="A79" s="80"/>
      <c r="B79" s="79"/>
      <c r="C79" s="79"/>
      <c r="D79" s="79"/>
      <c r="E79" s="79"/>
    </row>
    <row r="80" spans="1:5" x14ac:dyDescent="0.2">
      <c r="A80" s="80"/>
      <c r="B80" s="79"/>
      <c r="C80" s="79"/>
      <c r="D80" s="79"/>
      <c r="E80" s="79"/>
    </row>
    <row r="81" spans="1:5" x14ac:dyDescent="0.2">
      <c r="A81" s="80"/>
      <c r="B81" s="79"/>
      <c r="C81" s="79"/>
      <c r="D81" s="79"/>
      <c r="E81" s="79"/>
    </row>
    <row r="82" spans="1:5" x14ac:dyDescent="0.2">
      <c r="A82" s="80"/>
      <c r="B82" s="79"/>
      <c r="C82" s="79"/>
      <c r="D82" s="79"/>
      <c r="E82" s="79"/>
    </row>
    <row r="83" spans="1:5" x14ac:dyDescent="0.2">
      <c r="A83" s="80"/>
      <c r="B83" s="79"/>
      <c r="C83" s="79"/>
      <c r="D83" s="79"/>
      <c r="E83" s="79"/>
    </row>
    <row r="84" spans="1:5" x14ac:dyDescent="0.2">
      <c r="A84" s="80"/>
      <c r="B84" s="79"/>
      <c r="C84" s="79"/>
      <c r="D84" s="79"/>
      <c r="E84" s="79"/>
    </row>
    <row r="85" spans="1:5" x14ac:dyDescent="0.2">
      <c r="A85" s="80"/>
      <c r="B85" s="79"/>
      <c r="C85" s="79"/>
      <c r="D85" s="79"/>
      <c r="E85" s="79"/>
    </row>
    <row r="86" spans="1:5" x14ac:dyDescent="0.2">
      <c r="A86" s="80"/>
      <c r="B86" s="79"/>
      <c r="C86" s="79"/>
      <c r="D86" s="79"/>
      <c r="E86" s="79"/>
    </row>
    <row r="87" spans="1:5" x14ac:dyDescent="0.2">
      <c r="A87" s="80"/>
      <c r="B87" s="79"/>
      <c r="C87" s="79"/>
      <c r="D87" s="79"/>
      <c r="E87" s="79"/>
    </row>
    <row r="88" spans="1:5" x14ac:dyDescent="0.2">
      <c r="A88" s="80"/>
      <c r="B88" s="79"/>
      <c r="C88" s="79"/>
      <c r="D88" s="79"/>
      <c r="E88" s="79"/>
    </row>
    <row r="89" spans="1:5" x14ac:dyDescent="0.2">
      <c r="A89" s="80"/>
      <c r="B89" s="79"/>
      <c r="C89" s="79"/>
      <c r="D89" s="79"/>
      <c r="E89" s="79"/>
    </row>
    <row r="90" spans="1:5" x14ac:dyDescent="0.2">
      <c r="A90" s="80"/>
      <c r="B90" s="79"/>
      <c r="C90" s="79"/>
      <c r="D90" s="79"/>
      <c r="E90" s="79"/>
    </row>
    <row r="91" spans="1:5" x14ac:dyDescent="0.2">
      <c r="A91" s="80"/>
      <c r="B91" s="79"/>
      <c r="C91" s="79"/>
      <c r="D91" s="79"/>
      <c r="E91" s="79"/>
    </row>
    <row r="92" spans="1:5" x14ac:dyDescent="0.2">
      <c r="A92" s="80"/>
      <c r="B92" s="79"/>
      <c r="C92" s="79"/>
      <c r="D92" s="79"/>
      <c r="E92" s="79"/>
    </row>
    <row r="93" spans="1:5" x14ac:dyDescent="0.2">
      <c r="A93" s="80"/>
      <c r="B93" s="79"/>
      <c r="C93" s="79"/>
      <c r="D93" s="79"/>
      <c r="E93" s="79"/>
    </row>
    <row r="94" spans="1:5" x14ac:dyDescent="0.2">
      <c r="A94" s="80"/>
      <c r="B94" s="79"/>
      <c r="C94" s="79"/>
      <c r="D94" s="79"/>
      <c r="E94" s="79"/>
    </row>
    <row r="95" spans="1:5" x14ac:dyDescent="0.2">
      <c r="A95" s="80"/>
      <c r="B95" s="79"/>
      <c r="C95" s="79"/>
      <c r="D95" s="79"/>
      <c r="E95" s="79"/>
    </row>
    <row r="96" spans="1:5" x14ac:dyDescent="0.2">
      <c r="A96" s="80"/>
      <c r="B96" s="79"/>
      <c r="C96" s="79"/>
      <c r="D96" s="79"/>
      <c r="E96" s="79"/>
    </row>
    <row r="97" spans="1:5" x14ac:dyDescent="0.2">
      <c r="A97" s="80"/>
      <c r="B97" s="79"/>
      <c r="C97" s="79"/>
      <c r="D97" s="79"/>
      <c r="E97" s="79"/>
    </row>
    <row r="98" spans="1:5" x14ac:dyDescent="0.2">
      <c r="A98" s="80"/>
      <c r="B98" s="79"/>
      <c r="C98" s="79"/>
      <c r="D98" s="79"/>
      <c r="E98" s="79"/>
    </row>
    <row r="99" spans="1:5" x14ac:dyDescent="0.2">
      <c r="A99" s="80"/>
      <c r="B99" s="79"/>
      <c r="C99" s="79"/>
      <c r="D99" s="79"/>
      <c r="E99" s="79"/>
    </row>
    <row r="100" spans="1:5" x14ac:dyDescent="0.2">
      <c r="A100" s="80"/>
      <c r="B100" s="79"/>
      <c r="C100" s="79"/>
      <c r="D100" s="79"/>
      <c r="E100" s="79"/>
    </row>
    <row r="101" spans="1:5" x14ac:dyDescent="0.2">
      <c r="A101" s="80"/>
      <c r="B101" s="79"/>
      <c r="C101" s="79"/>
      <c r="D101" s="79"/>
      <c r="E101" s="79"/>
    </row>
    <row r="102" spans="1:5" x14ac:dyDescent="0.2">
      <c r="A102" s="80"/>
      <c r="B102" s="79"/>
      <c r="C102" s="79"/>
      <c r="D102" s="79"/>
      <c r="E102" s="79"/>
    </row>
    <row r="103" spans="1:5" x14ac:dyDescent="0.2">
      <c r="A103" s="80"/>
      <c r="B103" s="79"/>
      <c r="C103" s="79"/>
      <c r="D103" s="79"/>
      <c r="E103" s="79"/>
    </row>
    <row r="104" spans="1:5" x14ac:dyDescent="0.2">
      <c r="A104" s="80"/>
      <c r="B104" s="79"/>
      <c r="C104" s="79"/>
      <c r="D104" s="79"/>
      <c r="E104" s="79"/>
    </row>
    <row r="105" spans="1:5" x14ac:dyDescent="0.2">
      <c r="A105" s="80"/>
      <c r="B105" s="79"/>
      <c r="C105" s="79"/>
      <c r="D105" s="79"/>
      <c r="E105" s="79"/>
    </row>
    <row r="106" spans="1:5" x14ac:dyDescent="0.2">
      <c r="A106" s="80"/>
      <c r="B106" s="79"/>
      <c r="C106" s="79"/>
      <c r="D106" s="79"/>
      <c r="E106" s="79"/>
    </row>
    <row r="107" spans="1:5" x14ac:dyDescent="0.2">
      <c r="A107" s="80"/>
      <c r="B107" s="79"/>
      <c r="C107" s="79"/>
      <c r="D107" s="79"/>
      <c r="E107" s="79"/>
    </row>
    <row r="108" spans="1:5" x14ac:dyDescent="0.2">
      <c r="A108" s="80"/>
      <c r="B108" s="79"/>
      <c r="C108" s="79"/>
      <c r="D108" s="79"/>
      <c r="E108" s="79"/>
    </row>
    <row r="109" spans="1:5" x14ac:dyDescent="0.2">
      <c r="A109" s="80"/>
      <c r="B109" s="79"/>
      <c r="C109" s="79"/>
      <c r="D109" s="79"/>
      <c r="E109" s="79"/>
    </row>
    <row r="110" spans="1:5" x14ac:dyDescent="0.2">
      <c r="A110" s="80"/>
      <c r="B110" s="79"/>
      <c r="C110" s="79"/>
      <c r="D110" s="79"/>
      <c r="E110" s="79"/>
    </row>
    <row r="111" spans="1:5" x14ac:dyDescent="0.2">
      <c r="A111" s="80"/>
      <c r="B111" s="79"/>
      <c r="C111" s="79"/>
      <c r="D111" s="79"/>
      <c r="E111" s="79"/>
    </row>
    <row r="112" spans="1:5" x14ac:dyDescent="0.2">
      <c r="A112" s="80"/>
      <c r="B112" s="79"/>
      <c r="C112" s="79"/>
      <c r="D112" s="79"/>
      <c r="E112" s="79"/>
    </row>
    <row r="113" spans="1:90" x14ac:dyDescent="0.2">
      <c r="A113" s="80"/>
      <c r="B113" s="79"/>
      <c r="C113" s="79"/>
      <c r="D113" s="79"/>
      <c r="E113" s="79"/>
    </row>
    <row r="114" spans="1:90" x14ac:dyDescent="0.2">
      <c r="A114" s="80"/>
      <c r="B114" s="79"/>
      <c r="C114" s="79"/>
      <c r="D114" s="79"/>
      <c r="E114" s="79"/>
    </row>
    <row r="115" spans="1:90" x14ac:dyDescent="0.2">
      <c r="A115" s="80"/>
      <c r="B115" s="79"/>
      <c r="C115" s="79"/>
      <c r="D115" s="79"/>
      <c r="E115" s="79"/>
    </row>
    <row r="116" spans="1:90" x14ac:dyDescent="0.2">
      <c r="A116" s="80"/>
      <c r="B116" s="79"/>
      <c r="C116" s="79"/>
      <c r="D116" s="79"/>
      <c r="E116" s="79"/>
    </row>
    <row r="117" spans="1:90" x14ac:dyDescent="0.2">
      <c r="A117" s="80"/>
      <c r="B117" s="79"/>
      <c r="C117" s="79"/>
      <c r="D117" s="79"/>
      <c r="E117" s="79"/>
    </row>
    <row r="118" spans="1:90" x14ac:dyDescent="0.2">
      <c r="A118" s="80"/>
      <c r="B118" s="79"/>
      <c r="C118" s="79"/>
      <c r="D118" s="79"/>
      <c r="E118" s="79"/>
    </row>
    <row r="119" spans="1:90" x14ac:dyDescent="0.2">
      <c r="A119" s="80"/>
      <c r="B119" s="79"/>
      <c r="C119" s="79"/>
      <c r="D119" s="79"/>
      <c r="E119" s="79"/>
    </row>
    <row r="120" spans="1:90" x14ac:dyDescent="0.2">
      <c r="A120" s="80"/>
      <c r="B120" s="79"/>
      <c r="C120" s="79"/>
      <c r="D120" s="79"/>
      <c r="E120" s="79"/>
    </row>
    <row r="121" spans="1:90" ht="15" customHeight="1" x14ac:dyDescent="0.2">
      <c r="P121" s="122"/>
      <c r="Q121" s="122"/>
      <c r="R121" s="122"/>
      <c r="S121" s="122"/>
      <c r="T121" s="122"/>
      <c r="U121" s="122"/>
      <c r="V121" s="122"/>
      <c r="W121" s="122"/>
      <c r="X121" s="122"/>
      <c r="Y121" s="122"/>
      <c r="Z121" s="122"/>
      <c r="AA121" s="122"/>
      <c r="AB121" s="122"/>
      <c r="AC121" s="122"/>
      <c r="AD121" s="122"/>
      <c r="AE121" s="122"/>
      <c r="AF121" s="122"/>
      <c r="AG121" s="122"/>
      <c r="AH121" s="122"/>
      <c r="AI121" s="122"/>
      <c r="AJ121" s="122"/>
      <c r="AK121" s="122"/>
      <c r="AL121" s="122"/>
      <c r="AM121" s="122"/>
      <c r="AN121" s="122"/>
      <c r="AO121" s="122"/>
      <c r="AP121" s="122"/>
      <c r="AQ121" s="122"/>
      <c r="AR121" s="122"/>
      <c r="AS121" s="122"/>
      <c r="AT121" s="122"/>
      <c r="AU121" s="122"/>
      <c r="AV121" s="122"/>
      <c r="AW121" s="122"/>
      <c r="AX121" s="122"/>
      <c r="AY121" s="122"/>
      <c r="AZ121" s="122"/>
      <c r="BA121" s="122"/>
      <c r="BB121" s="122"/>
      <c r="BC121" s="122"/>
      <c r="BD121" s="122"/>
      <c r="BE121" s="122"/>
      <c r="BF121" s="122"/>
      <c r="BG121" s="122"/>
      <c r="BH121" s="122"/>
      <c r="BI121" s="122"/>
      <c r="BJ121" s="122"/>
      <c r="BK121" s="122"/>
      <c r="BL121" s="122"/>
      <c r="BM121" s="122"/>
      <c r="BN121" s="122"/>
      <c r="BO121" s="122"/>
      <c r="BP121" s="122"/>
      <c r="BQ121" s="122"/>
      <c r="BR121" s="122"/>
      <c r="BS121" s="122"/>
      <c r="BT121" s="122"/>
      <c r="BU121" s="122"/>
      <c r="BV121" s="122"/>
      <c r="BW121" s="122"/>
      <c r="BX121" s="122"/>
      <c r="BY121" s="122"/>
      <c r="BZ121" s="122"/>
      <c r="CA121" s="122"/>
      <c r="CB121" s="122"/>
      <c r="CC121" s="122"/>
      <c r="CD121" s="122"/>
      <c r="CE121" s="122"/>
      <c r="CF121" s="122"/>
      <c r="CG121" s="122"/>
      <c r="CH121" s="122"/>
      <c r="CI121" s="122"/>
      <c r="CJ121" s="122"/>
      <c r="CK121" s="122"/>
      <c r="CL121" s="122"/>
    </row>
    <row r="122" spans="1:90" ht="15" customHeight="1" x14ac:dyDescent="0.2">
      <c r="P122" s="122"/>
      <c r="Q122" s="122"/>
      <c r="R122" s="122"/>
      <c r="S122" s="122"/>
      <c r="T122" s="122"/>
      <c r="U122" s="122"/>
      <c r="V122" s="122"/>
      <c r="W122" s="122"/>
      <c r="X122" s="122"/>
      <c r="Y122" s="122"/>
      <c r="Z122" s="122"/>
      <c r="AA122" s="122"/>
      <c r="AB122" s="122"/>
      <c r="AC122" s="122"/>
      <c r="AD122" s="122"/>
      <c r="AE122" s="122"/>
      <c r="AF122" s="122"/>
      <c r="AG122" s="122"/>
      <c r="AH122" s="122"/>
      <c r="AI122" s="122"/>
      <c r="AJ122" s="122"/>
      <c r="AK122" s="122"/>
      <c r="AL122" s="122"/>
      <c r="AM122" s="122"/>
      <c r="AN122" s="122"/>
      <c r="AO122" s="122"/>
      <c r="AP122" s="122"/>
      <c r="AQ122" s="122"/>
      <c r="AR122" s="122"/>
      <c r="AS122" s="122"/>
      <c r="AT122" s="122"/>
      <c r="AU122" s="122"/>
      <c r="AV122" s="122"/>
      <c r="AW122" s="122"/>
      <c r="AX122" s="122"/>
      <c r="AY122" s="122"/>
      <c r="AZ122" s="122"/>
      <c r="BA122" s="122"/>
      <c r="BB122" s="122"/>
      <c r="BC122" s="122"/>
      <c r="BD122" s="122"/>
      <c r="BE122" s="122"/>
      <c r="BF122" s="122"/>
      <c r="BG122" s="122"/>
      <c r="BH122" s="122"/>
      <c r="BI122" s="122"/>
      <c r="BJ122" s="122"/>
      <c r="BK122" s="122"/>
      <c r="BL122" s="122"/>
      <c r="BM122" s="122"/>
      <c r="BN122" s="122"/>
      <c r="BO122" s="122"/>
      <c r="BP122" s="122"/>
      <c r="BQ122" s="122"/>
      <c r="BR122" s="122"/>
      <c r="BS122" s="122"/>
      <c r="BT122" s="122"/>
      <c r="BU122" s="122"/>
      <c r="BV122" s="122"/>
      <c r="BW122" s="122"/>
      <c r="BX122" s="122"/>
      <c r="BY122" s="122"/>
      <c r="BZ122" s="122"/>
      <c r="CA122" s="122"/>
      <c r="CB122" s="122"/>
      <c r="CC122" s="122"/>
      <c r="CD122" s="122"/>
      <c r="CE122" s="122"/>
      <c r="CF122" s="122"/>
      <c r="CG122" s="122"/>
      <c r="CH122" s="122"/>
      <c r="CI122" s="122"/>
      <c r="CJ122" s="122"/>
      <c r="CK122" s="122"/>
      <c r="CL122" s="122"/>
    </row>
    <row r="123" spans="1:90" ht="15" customHeight="1" x14ac:dyDescent="0.2"/>
    <row r="124" spans="1:90" ht="15" customHeight="1" x14ac:dyDescent="0.2">
      <c r="A124" s="123"/>
      <c r="B124" s="79"/>
      <c r="C124" s="79"/>
    </row>
    <row r="125" spans="1:90" ht="15" customHeight="1" x14ac:dyDescent="0.2">
      <c r="A125" s="80"/>
      <c r="B125" s="79"/>
      <c r="C125" s="79"/>
    </row>
    <row r="126" spans="1:90" ht="15" customHeight="1" x14ac:dyDescent="0.2">
      <c r="A126" s="80"/>
      <c r="B126" s="79"/>
      <c r="C126" s="79"/>
      <c r="H126" s="123"/>
      <c r="I126" s="123"/>
      <c r="J126" s="123"/>
      <c r="K126" s="123"/>
      <c r="L126" s="80"/>
      <c r="M126" s="80"/>
      <c r="N126" s="80"/>
      <c r="O126" s="80"/>
    </row>
    <row r="127" spans="1:90" ht="15" customHeight="1" x14ac:dyDescent="0.2">
      <c r="A127" s="80"/>
      <c r="B127" s="79"/>
      <c r="C127" s="79"/>
      <c r="H127" s="83"/>
      <c r="I127" s="83"/>
      <c r="J127" s="83"/>
      <c r="K127" s="83"/>
      <c r="L127" s="80"/>
      <c r="M127" s="80"/>
      <c r="N127" s="80"/>
      <c r="O127" s="80"/>
    </row>
    <row r="128" spans="1:90" ht="15" customHeight="1" x14ac:dyDescent="0.2">
      <c r="H128" s="79"/>
      <c r="I128" s="79"/>
      <c r="J128" s="79"/>
      <c r="K128" s="79"/>
      <c r="L128" s="80"/>
      <c r="M128" s="80"/>
      <c r="N128" s="80"/>
      <c r="O128" s="80"/>
      <c r="P128" s="122"/>
      <c r="Q128" s="122"/>
      <c r="R128" s="122"/>
      <c r="S128" s="122"/>
      <c r="T128" s="122"/>
      <c r="U128" s="122"/>
      <c r="V128" s="122"/>
      <c r="W128" s="122"/>
      <c r="X128" s="122"/>
      <c r="Y128" s="122"/>
      <c r="Z128" s="122"/>
      <c r="AA128" s="122"/>
      <c r="AB128" s="122"/>
      <c r="AC128" s="122"/>
      <c r="AD128" s="122"/>
      <c r="AE128" s="122"/>
      <c r="AF128" s="122"/>
      <c r="AG128" s="122"/>
      <c r="AH128" s="122"/>
      <c r="AI128" s="122"/>
      <c r="AJ128" s="122"/>
      <c r="AK128" s="122"/>
      <c r="AL128" s="122"/>
      <c r="AM128" s="122"/>
      <c r="AN128" s="122"/>
      <c r="AO128" s="122"/>
      <c r="AP128" s="122"/>
      <c r="AQ128" s="122"/>
      <c r="AR128" s="122"/>
      <c r="AS128" s="122"/>
      <c r="AT128" s="122"/>
      <c r="AU128" s="122"/>
      <c r="AV128" s="122"/>
      <c r="AW128" s="122"/>
      <c r="AX128" s="122"/>
      <c r="AY128" s="122"/>
      <c r="AZ128" s="122"/>
      <c r="BA128" s="122"/>
      <c r="BB128" s="122"/>
      <c r="BC128" s="122"/>
      <c r="BD128" s="122"/>
      <c r="BE128" s="122"/>
      <c r="BF128" s="122"/>
      <c r="BG128" s="122"/>
      <c r="BH128" s="122"/>
      <c r="BI128" s="122"/>
      <c r="BJ128" s="122"/>
      <c r="BK128" s="122"/>
      <c r="BL128" s="122"/>
      <c r="BM128" s="122"/>
      <c r="BN128" s="122"/>
      <c r="BO128" s="122"/>
      <c r="BP128" s="122"/>
      <c r="BQ128" s="122"/>
      <c r="BR128" s="122"/>
      <c r="BS128" s="122"/>
      <c r="BT128" s="122"/>
      <c r="BU128" s="122"/>
      <c r="BV128" s="122"/>
      <c r="BW128" s="122"/>
      <c r="BX128" s="122"/>
      <c r="BY128" s="122"/>
      <c r="BZ128" s="122"/>
      <c r="CA128" s="122"/>
      <c r="CB128" s="122"/>
      <c r="CC128" s="122"/>
      <c r="CD128" s="122"/>
      <c r="CE128" s="122"/>
      <c r="CF128" s="122"/>
      <c r="CG128" s="122"/>
      <c r="CH128" s="122"/>
      <c r="CI128" s="122"/>
      <c r="CJ128" s="122"/>
      <c r="CK128" s="122"/>
      <c r="CL128" s="122"/>
    </row>
    <row r="129" spans="8:90" ht="15" customHeight="1" x14ac:dyDescent="0.2">
      <c r="L129" s="80"/>
      <c r="M129" s="80"/>
      <c r="N129" s="80"/>
      <c r="O129" s="80"/>
    </row>
    <row r="130" spans="8:90" ht="15" customHeight="1" x14ac:dyDescent="0.2">
      <c r="H130" s="79"/>
      <c r="I130" s="79"/>
      <c r="J130" s="79"/>
      <c r="K130" s="79"/>
      <c r="L130" s="80"/>
      <c r="M130" s="80"/>
      <c r="N130" s="80"/>
      <c r="O130" s="80"/>
    </row>
    <row r="131" spans="8:90" ht="15" customHeight="1" x14ac:dyDescent="0.2">
      <c r="H131" s="84"/>
      <c r="I131" s="84"/>
      <c r="J131" s="84"/>
      <c r="K131" s="84"/>
      <c r="L131" s="80"/>
      <c r="M131" s="80"/>
      <c r="N131" s="80"/>
      <c r="O131" s="80"/>
      <c r="P131" s="122"/>
      <c r="Q131" s="122"/>
      <c r="R131" s="122"/>
      <c r="S131" s="122"/>
      <c r="T131" s="122"/>
      <c r="U131" s="122"/>
      <c r="V131" s="122"/>
      <c r="W131" s="122"/>
      <c r="X131" s="122"/>
      <c r="Y131" s="122"/>
      <c r="Z131" s="122"/>
      <c r="AA131" s="122"/>
      <c r="AB131" s="122"/>
      <c r="AC131" s="122"/>
      <c r="AD131" s="122"/>
      <c r="AE131" s="122"/>
      <c r="AF131" s="122"/>
      <c r="AG131" s="122"/>
      <c r="AH131" s="122"/>
      <c r="AI131" s="122"/>
      <c r="AJ131" s="122"/>
      <c r="AK131" s="122"/>
      <c r="AL131" s="122"/>
      <c r="AM131" s="122"/>
      <c r="AN131" s="122"/>
      <c r="AO131" s="122"/>
      <c r="AP131" s="122"/>
      <c r="AQ131" s="122"/>
      <c r="AR131" s="122"/>
      <c r="AS131" s="122"/>
      <c r="AT131" s="122"/>
      <c r="AU131" s="122"/>
      <c r="AV131" s="122"/>
      <c r="AW131" s="122"/>
      <c r="AX131" s="122"/>
      <c r="AY131" s="122"/>
      <c r="AZ131" s="122"/>
      <c r="BA131" s="122"/>
      <c r="BB131" s="122"/>
      <c r="BC131" s="122"/>
      <c r="BD131" s="122"/>
      <c r="BE131" s="122"/>
      <c r="BF131" s="122"/>
      <c r="BG131" s="122"/>
      <c r="BH131" s="122"/>
      <c r="BI131" s="122"/>
      <c r="BJ131" s="122"/>
      <c r="BK131" s="122"/>
      <c r="BL131" s="122"/>
      <c r="BM131" s="122"/>
      <c r="BN131" s="122"/>
      <c r="BO131" s="122"/>
      <c r="BP131" s="122"/>
      <c r="BQ131" s="122"/>
      <c r="BR131" s="122"/>
      <c r="BS131" s="122"/>
      <c r="BT131" s="122"/>
      <c r="BU131" s="122"/>
      <c r="BV131" s="122"/>
      <c r="BW131" s="122"/>
      <c r="BX131" s="122"/>
      <c r="BY131" s="122"/>
      <c r="BZ131" s="122"/>
      <c r="CA131" s="122"/>
      <c r="CB131" s="122"/>
      <c r="CC131" s="122"/>
      <c r="CD131" s="122"/>
      <c r="CE131" s="122"/>
      <c r="CF131" s="122"/>
      <c r="CG131" s="122"/>
      <c r="CH131" s="122"/>
      <c r="CI131" s="122"/>
      <c r="CJ131" s="122"/>
      <c r="CK131" s="122"/>
      <c r="CL131" s="122"/>
    </row>
    <row r="132" spans="8:90" ht="15" customHeight="1" x14ac:dyDescent="0.2">
      <c r="H132" s="79"/>
      <c r="I132" s="79"/>
      <c r="J132" s="79"/>
      <c r="K132" s="79"/>
      <c r="L132" s="80"/>
      <c r="M132" s="80"/>
      <c r="N132" s="80"/>
      <c r="O132" s="80"/>
    </row>
    <row r="133" spans="8:90" ht="15" customHeight="1" x14ac:dyDescent="0.2"/>
    <row r="134" spans="8:90" ht="15" customHeight="1" x14ac:dyDescent="0.2">
      <c r="P134" s="122"/>
      <c r="Q134" s="122"/>
      <c r="R134" s="122"/>
      <c r="S134" s="122"/>
      <c r="T134" s="122"/>
      <c r="U134" s="122"/>
      <c r="V134" s="122"/>
      <c r="W134" s="122"/>
      <c r="X134" s="122"/>
      <c r="Y134" s="122"/>
      <c r="Z134" s="122"/>
      <c r="AA134" s="122"/>
      <c r="AB134" s="122"/>
      <c r="AC134" s="122"/>
      <c r="AD134" s="122"/>
      <c r="AE134" s="122"/>
      <c r="AF134" s="122"/>
      <c r="AG134" s="122"/>
      <c r="AH134" s="122"/>
      <c r="AI134" s="122"/>
      <c r="AJ134" s="122"/>
      <c r="AK134" s="122"/>
      <c r="AL134" s="122"/>
      <c r="AM134" s="122"/>
      <c r="AN134" s="122"/>
      <c r="AO134" s="122"/>
      <c r="AP134" s="122"/>
      <c r="AQ134" s="122"/>
      <c r="AR134" s="122"/>
      <c r="AS134" s="122"/>
      <c r="AT134" s="122"/>
      <c r="AU134" s="122"/>
      <c r="AV134" s="122"/>
      <c r="AW134" s="122"/>
      <c r="AX134" s="122"/>
      <c r="AY134" s="122"/>
      <c r="AZ134" s="122"/>
      <c r="BA134" s="122"/>
      <c r="BB134" s="122"/>
      <c r="BC134" s="122"/>
      <c r="BD134" s="122"/>
      <c r="BE134" s="122"/>
      <c r="BF134" s="122"/>
      <c r="BG134" s="122"/>
      <c r="BH134" s="122"/>
      <c r="BI134" s="122"/>
      <c r="BJ134" s="122"/>
      <c r="BK134" s="122"/>
      <c r="BL134" s="122"/>
      <c r="BM134" s="122"/>
      <c r="BN134" s="122"/>
      <c r="BO134" s="122"/>
      <c r="BP134" s="122"/>
      <c r="BQ134" s="122"/>
      <c r="BR134" s="122"/>
      <c r="BS134" s="122"/>
      <c r="BT134" s="122"/>
      <c r="BU134" s="122"/>
      <c r="BV134" s="122"/>
      <c r="BW134" s="122"/>
      <c r="BX134" s="122"/>
      <c r="BY134" s="122"/>
      <c r="BZ134" s="122"/>
      <c r="CA134" s="122"/>
      <c r="CB134" s="122"/>
      <c r="CC134" s="122"/>
      <c r="CD134" s="122"/>
      <c r="CE134" s="122"/>
      <c r="CF134" s="122"/>
      <c r="CG134" s="122"/>
      <c r="CH134" s="122"/>
      <c r="CI134" s="122"/>
      <c r="CJ134" s="122"/>
      <c r="CK134" s="122"/>
      <c r="CL134" s="122"/>
    </row>
    <row r="135" spans="8:90" ht="15" customHeight="1" x14ac:dyDescent="0.2"/>
    <row r="136" spans="8:90" ht="15" customHeight="1" x14ac:dyDescent="0.2">
      <c r="P136" s="122"/>
      <c r="Q136" s="122"/>
      <c r="R136" s="122"/>
      <c r="S136" s="122"/>
      <c r="T136" s="122"/>
      <c r="U136" s="122"/>
      <c r="V136" s="122"/>
      <c r="W136" s="122"/>
      <c r="X136" s="122"/>
      <c r="Y136" s="122"/>
      <c r="Z136" s="122"/>
      <c r="AA136" s="122"/>
      <c r="AB136" s="122"/>
      <c r="AC136" s="122"/>
      <c r="AD136" s="122"/>
      <c r="AE136" s="122"/>
      <c r="AF136" s="122"/>
      <c r="AG136" s="122"/>
      <c r="AH136" s="122"/>
      <c r="AI136" s="122"/>
      <c r="AJ136" s="122"/>
      <c r="AK136" s="122"/>
      <c r="AL136" s="122"/>
      <c r="AM136" s="122"/>
      <c r="AN136" s="122"/>
      <c r="AO136" s="122"/>
      <c r="AP136" s="122"/>
      <c r="AQ136" s="122"/>
      <c r="AR136" s="122"/>
      <c r="AS136" s="122"/>
      <c r="AT136" s="122"/>
      <c r="AU136" s="122"/>
      <c r="AV136" s="122"/>
      <c r="AW136" s="122"/>
      <c r="AX136" s="122"/>
      <c r="AY136" s="122"/>
      <c r="AZ136" s="122"/>
      <c r="BA136" s="122"/>
      <c r="BB136" s="122"/>
      <c r="BC136" s="122"/>
      <c r="BD136" s="122"/>
      <c r="BE136" s="122"/>
      <c r="BF136" s="122"/>
      <c r="BG136" s="122"/>
      <c r="BH136" s="122"/>
      <c r="BI136" s="122"/>
      <c r="BJ136" s="122"/>
      <c r="BK136" s="122"/>
      <c r="BL136" s="122"/>
      <c r="BM136" s="122"/>
      <c r="BN136" s="122"/>
      <c r="BO136" s="122"/>
      <c r="BP136" s="122"/>
      <c r="BQ136" s="122"/>
      <c r="BR136" s="122"/>
      <c r="BS136" s="122"/>
      <c r="BT136" s="122"/>
      <c r="BU136" s="122"/>
      <c r="BV136" s="122"/>
      <c r="BW136" s="122"/>
      <c r="BX136" s="122"/>
      <c r="BY136" s="122"/>
      <c r="BZ136" s="122"/>
      <c r="CA136" s="122"/>
      <c r="CB136" s="122"/>
      <c r="CC136" s="122"/>
      <c r="CD136" s="122"/>
      <c r="CE136" s="122"/>
      <c r="CF136" s="122"/>
      <c r="CG136" s="122"/>
      <c r="CH136" s="122"/>
      <c r="CI136" s="122"/>
      <c r="CJ136" s="122"/>
      <c r="CK136" s="122"/>
      <c r="CL136" s="122"/>
    </row>
    <row r="137" spans="8:90" ht="15" customHeight="1" x14ac:dyDescent="0.2"/>
    <row r="138" spans="8:90" ht="15" customHeight="1" x14ac:dyDescent="0.2"/>
    <row r="139" spans="8:90" ht="15" customHeight="1" x14ac:dyDescent="0.2"/>
    <row r="140" spans="8:90" ht="15" customHeight="1" x14ac:dyDescent="0.2"/>
    <row r="141" spans="8:90" ht="15" customHeight="1" x14ac:dyDescent="0.2">
      <c r="P141" s="124"/>
      <c r="Q141" s="124"/>
      <c r="R141" s="124"/>
      <c r="S141" s="124"/>
      <c r="T141" s="124"/>
      <c r="U141" s="124"/>
      <c r="V141" s="124"/>
      <c r="W141" s="124"/>
      <c r="X141" s="124"/>
      <c r="Y141" s="124"/>
      <c r="Z141" s="124"/>
      <c r="AA141" s="124"/>
      <c r="AB141" s="124"/>
      <c r="AC141" s="124"/>
      <c r="AD141" s="124"/>
      <c r="AE141" s="124"/>
      <c r="AF141" s="124"/>
      <c r="AG141" s="124"/>
      <c r="AH141" s="124"/>
      <c r="AI141" s="124"/>
      <c r="AJ141" s="124"/>
      <c r="AK141" s="124"/>
      <c r="AL141" s="124"/>
      <c r="AM141" s="124"/>
      <c r="AN141" s="124"/>
      <c r="AO141" s="124"/>
      <c r="AP141" s="124"/>
      <c r="AQ141" s="124"/>
      <c r="AR141" s="124"/>
      <c r="AS141" s="124"/>
      <c r="AT141" s="124"/>
      <c r="AU141" s="124"/>
      <c r="AV141" s="124"/>
      <c r="AW141" s="124"/>
      <c r="AX141" s="124"/>
      <c r="AY141" s="124"/>
      <c r="AZ141" s="124"/>
      <c r="BA141" s="124"/>
      <c r="BB141" s="124"/>
      <c r="BC141" s="124"/>
      <c r="BD141" s="124"/>
      <c r="BE141" s="124"/>
      <c r="BF141" s="124"/>
      <c r="BG141" s="124"/>
      <c r="BH141" s="124"/>
      <c r="BI141" s="124"/>
      <c r="BJ141" s="124"/>
      <c r="BK141" s="124"/>
      <c r="BL141" s="124"/>
      <c r="BM141" s="124"/>
      <c r="BN141" s="124"/>
      <c r="BO141" s="124"/>
      <c r="BP141" s="124"/>
      <c r="BQ141" s="124"/>
      <c r="BR141" s="124"/>
      <c r="BS141" s="124"/>
      <c r="BT141" s="124"/>
    </row>
    <row r="142" spans="8:90" ht="15" customHeight="1" x14ac:dyDescent="0.2"/>
    <row r="143" spans="8:90" ht="15" customHeight="1" x14ac:dyDescent="0.2"/>
    <row r="144" spans="8:90" ht="15" customHeight="1" x14ac:dyDescent="0.2"/>
    <row r="145" spans="1:90" ht="15" customHeight="1" x14ac:dyDescent="0.2"/>
    <row r="146" spans="1:90" ht="15" customHeight="1" x14ac:dyDescent="0.2"/>
    <row r="147" spans="1:90" ht="15" customHeight="1" x14ac:dyDescent="0.2"/>
    <row r="148" spans="1:90" ht="15" customHeight="1" x14ac:dyDescent="0.2"/>
    <row r="149" spans="1:90" ht="15" customHeight="1" x14ac:dyDescent="0.2"/>
    <row r="150" spans="1:90" s="80" customFormat="1" ht="15" customHeight="1" x14ac:dyDescent="0.2">
      <c r="A150" s="81"/>
      <c r="B150" s="25"/>
      <c r="C150" s="25"/>
      <c r="D150" s="79"/>
      <c r="E150" s="79"/>
      <c r="F150" s="79"/>
      <c r="G150" s="79"/>
      <c r="H150" s="79"/>
      <c r="I150" s="79"/>
      <c r="J150" s="79"/>
      <c r="K150" s="79"/>
    </row>
    <row r="151" spans="1:90" s="80" customFormat="1" ht="15" customHeight="1" x14ac:dyDescent="0.2">
      <c r="B151" s="25"/>
      <c r="C151" s="25"/>
      <c r="D151" s="79"/>
      <c r="E151" s="79"/>
      <c r="F151" s="79"/>
      <c r="G151" s="79"/>
      <c r="H151" s="79"/>
      <c r="I151" s="79"/>
      <c r="J151" s="79"/>
      <c r="K151" s="79"/>
    </row>
    <row r="152" spans="1:90" s="80" customFormat="1" ht="15" customHeight="1" x14ac:dyDescent="0.2">
      <c r="B152" s="79"/>
      <c r="C152" s="79"/>
      <c r="D152" s="79"/>
      <c r="E152" s="79"/>
      <c r="F152" s="79"/>
      <c r="G152" s="79"/>
      <c r="H152" s="79"/>
      <c r="I152" s="79"/>
      <c r="J152" s="79"/>
      <c r="K152" s="79"/>
    </row>
    <row r="153" spans="1:90" ht="15" customHeight="1" x14ac:dyDescent="0.2"/>
    <row r="154" spans="1:90" ht="15" customHeight="1" x14ac:dyDescent="0.2"/>
    <row r="155" spans="1:90" ht="15" customHeight="1" x14ac:dyDescent="0.2"/>
    <row r="156" spans="1:90" ht="15" customHeight="1" x14ac:dyDescent="0.2"/>
    <row r="157" spans="1:90" ht="15" customHeight="1" x14ac:dyDescent="0.2">
      <c r="P157" s="122"/>
      <c r="Q157" s="122"/>
      <c r="R157" s="122"/>
      <c r="S157" s="122"/>
      <c r="T157" s="122"/>
      <c r="U157" s="122"/>
      <c r="V157" s="122"/>
      <c r="W157" s="122"/>
      <c r="X157" s="122"/>
      <c r="Y157" s="122"/>
      <c r="Z157" s="122"/>
      <c r="AA157" s="122"/>
      <c r="AB157" s="122"/>
      <c r="AC157" s="122"/>
      <c r="AD157" s="122"/>
      <c r="AE157" s="122"/>
      <c r="AF157" s="122"/>
      <c r="AG157" s="122"/>
      <c r="AH157" s="122"/>
      <c r="AI157" s="122"/>
      <c r="AJ157" s="122"/>
      <c r="AK157" s="122"/>
      <c r="AL157" s="122"/>
      <c r="AM157" s="122"/>
      <c r="AN157" s="122"/>
      <c r="AO157" s="122"/>
      <c r="AP157" s="122"/>
      <c r="AQ157" s="122"/>
      <c r="AR157" s="122"/>
      <c r="AS157" s="122"/>
      <c r="AT157" s="122"/>
      <c r="AU157" s="122"/>
      <c r="AV157" s="122"/>
      <c r="AW157" s="122"/>
      <c r="AX157" s="122"/>
      <c r="AY157" s="122"/>
      <c r="AZ157" s="122"/>
      <c r="BA157" s="122"/>
      <c r="BB157" s="122"/>
      <c r="BC157" s="122"/>
      <c r="BD157" s="122"/>
      <c r="BE157" s="122"/>
      <c r="BF157" s="122"/>
      <c r="BG157" s="122"/>
      <c r="BH157" s="122"/>
      <c r="BI157" s="122"/>
      <c r="BJ157" s="122"/>
      <c r="BK157" s="122"/>
      <c r="BL157" s="122"/>
      <c r="BM157" s="122"/>
      <c r="BN157" s="122"/>
      <c r="BO157" s="122"/>
      <c r="BP157" s="122"/>
      <c r="BQ157" s="122"/>
      <c r="BR157" s="122"/>
      <c r="BS157" s="122"/>
      <c r="BT157" s="122"/>
      <c r="BU157" s="122"/>
      <c r="BV157" s="122"/>
      <c r="BW157" s="122"/>
      <c r="BX157" s="122"/>
      <c r="BY157" s="122"/>
      <c r="BZ157" s="122"/>
      <c r="CA157" s="122"/>
      <c r="CB157" s="122"/>
      <c r="CC157" s="122"/>
      <c r="CD157" s="122"/>
      <c r="CE157" s="122"/>
      <c r="CF157" s="122"/>
      <c r="CG157" s="122"/>
      <c r="CH157" s="122"/>
      <c r="CI157" s="122"/>
      <c r="CJ157" s="122"/>
      <c r="CK157" s="122"/>
      <c r="CL157" s="122"/>
    </row>
    <row r="158" spans="1:90" ht="15" customHeight="1" x14ac:dyDescent="0.2"/>
    <row r="159" spans="1:90" ht="15" customHeight="1" x14ac:dyDescent="0.2"/>
    <row r="160" spans="1:90" ht="15" customHeight="1" x14ac:dyDescent="0.2"/>
    <row r="161" spans="16:90" ht="15" customHeight="1" x14ac:dyDescent="0.2"/>
    <row r="162" spans="16:90" ht="15" customHeight="1" x14ac:dyDescent="0.2">
      <c r="P162" s="122"/>
      <c r="Q162" s="122"/>
      <c r="R162" s="122"/>
      <c r="S162" s="122"/>
      <c r="T162" s="122"/>
      <c r="U162" s="122"/>
      <c r="V162" s="122"/>
      <c r="W162" s="122"/>
      <c r="X162" s="122"/>
      <c r="Y162" s="122"/>
      <c r="Z162" s="122"/>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c r="AU162" s="122"/>
      <c r="AV162" s="122"/>
      <c r="AW162" s="122"/>
      <c r="AX162" s="122"/>
      <c r="AY162" s="122"/>
      <c r="AZ162" s="122"/>
      <c r="BA162" s="122"/>
      <c r="BB162" s="122"/>
      <c r="BC162" s="122"/>
      <c r="BD162" s="122"/>
      <c r="BE162" s="122"/>
      <c r="BF162" s="122"/>
      <c r="BG162" s="122"/>
      <c r="BH162" s="122"/>
      <c r="BI162" s="122"/>
      <c r="BJ162" s="122"/>
      <c r="BK162" s="122"/>
      <c r="BL162" s="122"/>
      <c r="BM162" s="122"/>
      <c r="BN162" s="122"/>
      <c r="BO162" s="122"/>
      <c r="BP162" s="122"/>
      <c r="BQ162" s="122"/>
      <c r="BR162" s="122"/>
      <c r="BS162" s="122"/>
      <c r="BT162" s="122"/>
      <c r="BU162" s="122"/>
      <c r="BV162" s="122"/>
      <c r="BW162" s="122"/>
      <c r="BX162" s="122"/>
      <c r="BY162" s="122"/>
      <c r="BZ162" s="122"/>
      <c r="CA162" s="122"/>
      <c r="CB162" s="122"/>
      <c r="CC162" s="122"/>
      <c r="CD162" s="122"/>
      <c r="CE162" s="122"/>
      <c r="CF162" s="122"/>
      <c r="CG162" s="122"/>
      <c r="CH162" s="122"/>
      <c r="CI162" s="122"/>
      <c r="CJ162" s="122"/>
      <c r="CK162" s="122"/>
      <c r="CL162" s="122"/>
    </row>
    <row r="163" spans="16:90" ht="15" customHeight="1" x14ac:dyDescent="0.2"/>
    <row r="164" spans="16:90" ht="15" customHeight="1" x14ac:dyDescent="0.2"/>
    <row r="165" spans="16:90" ht="15" customHeight="1" x14ac:dyDescent="0.2"/>
    <row r="166" spans="16:90" ht="15" customHeight="1" x14ac:dyDescent="0.2"/>
    <row r="167" spans="16:90" ht="15" customHeight="1" x14ac:dyDescent="0.2">
      <c r="P167" s="122"/>
      <c r="Q167" s="122"/>
      <c r="R167" s="122"/>
      <c r="S167" s="122"/>
      <c r="T167" s="122"/>
      <c r="U167" s="122"/>
      <c r="V167" s="122"/>
      <c r="W167" s="122"/>
      <c r="X167" s="122"/>
      <c r="Y167" s="122"/>
      <c r="Z167" s="122"/>
      <c r="AA167" s="122"/>
      <c r="AB167" s="122"/>
      <c r="AC167" s="122"/>
      <c r="AD167" s="122"/>
      <c r="AE167" s="122"/>
      <c r="AF167" s="122"/>
      <c r="AG167" s="122"/>
      <c r="AH167" s="122"/>
      <c r="AI167" s="122"/>
      <c r="AJ167" s="122"/>
      <c r="AK167" s="122"/>
      <c r="AL167" s="122"/>
      <c r="AM167" s="122"/>
      <c r="AN167" s="122"/>
      <c r="AO167" s="122"/>
      <c r="AP167" s="122"/>
      <c r="AQ167" s="122"/>
      <c r="AR167" s="122"/>
      <c r="AS167" s="122"/>
      <c r="AT167" s="122"/>
      <c r="AU167" s="122"/>
      <c r="AV167" s="122"/>
      <c r="AW167" s="122"/>
      <c r="AX167" s="122"/>
      <c r="AY167" s="122"/>
      <c r="AZ167" s="122"/>
      <c r="BA167" s="122"/>
      <c r="BB167" s="122"/>
      <c r="BC167" s="122"/>
      <c r="BD167" s="122"/>
      <c r="BE167" s="122"/>
      <c r="BF167" s="122"/>
      <c r="BG167" s="122"/>
      <c r="BH167" s="122"/>
      <c r="BI167" s="122"/>
      <c r="BJ167" s="122"/>
      <c r="BK167" s="122"/>
      <c r="BL167" s="122"/>
      <c r="BM167" s="122"/>
      <c r="BN167" s="122"/>
      <c r="BO167" s="122"/>
      <c r="BP167" s="122"/>
      <c r="BQ167" s="122"/>
      <c r="BR167" s="122"/>
      <c r="BS167" s="122"/>
      <c r="BT167" s="122"/>
      <c r="BU167" s="122"/>
      <c r="BV167" s="122"/>
      <c r="BW167" s="122"/>
      <c r="BX167" s="122"/>
      <c r="BY167" s="122"/>
      <c r="BZ167" s="122"/>
      <c r="CA167" s="122"/>
      <c r="CB167" s="122"/>
      <c r="CC167" s="122"/>
      <c r="CD167" s="122"/>
      <c r="CE167" s="122"/>
      <c r="CF167" s="122"/>
      <c r="CG167" s="122"/>
      <c r="CH167" s="122"/>
      <c r="CI167" s="122"/>
      <c r="CJ167" s="122"/>
      <c r="CK167" s="122"/>
      <c r="CL167" s="122"/>
    </row>
    <row r="168" spans="16:90" ht="15" customHeight="1" x14ac:dyDescent="0.2">
      <c r="P168" s="122"/>
      <c r="Q168" s="122"/>
      <c r="R168" s="122"/>
      <c r="S168" s="122"/>
      <c r="T168" s="122"/>
      <c r="U168" s="122"/>
      <c r="V168" s="122"/>
      <c r="W168" s="122"/>
      <c r="X168" s="122"/>
      <c r="Y168" s="122"/>
      <c r="Z168" s="122"/>
      <c r="AA168" s="122"/>
      <c r="AB168" s="122"/>
      <c r="AC168" s="122"/>
      <c r="AD168" s="122"/>
      <c r="AE168" s="122"/>
      <c r="AF168" s="122"/>
      <c r="AG168" s="122"/>
      <c r="AH168" s="122"/>
      <c r="AI168" s="122"/>
      <c r="AJ168" s="122"/>
      <c r="AK168" s="122"/>
      <c r="AL168" s="122"/>
      <c r="AM168" s="122"/>
      <c r="AN168" s="122"/>
      <c r="AO168" s="122"/>
      <c r="AP168" s="122"/>
      <c r="AQ168" s="122"/>
      <c r="AR168" s="122"/>
      <c r="AS168" s="122"/>
      <c r="AT168" s="122"/>
      <c r="AU168" s="122"/>
      <c r="AV168" s="122"/>
      <c r="AW168" s="122"/>
      <c r="AX168" s="122"/>
      <c r="AY168" s="122"/>
      <c r="AZ168" s="122"/>
      <c r="BA168" s="122"/>
      <c r="BB168" s="122"/>
      <c r="BC168" s="122"/>
      <c r="BD168" s="122"/>
      <c r="BE168" s="122"/>
      <c r="BF168" s="122"/>
      <c r="BG168" s="122"/>
      <c r="BH168" s="122"/>
      <c r="BI168" s="122"/>
      <c r="BJ168" s="122"/>
      <c r="BK168" s="122"/>
      <c r="BL168" s="122"/>
      <c r="BM168" s="122"/>
      <c r="BN168" s="122"/>
      <c r="BO168" s="122"/>
      <c r="BP168" s="122"/>
      <c r="BQ168" s="122"/>
      <c r="BR168" s="122"/>
      <c r="BS168" s="122"/>
      <c r="BT168" s="122"/>
      <c r="BU168" s="122"/>
      <c r="BV168" s="122"/>
      <c r="BW168" s="122"/>
      <c r="BX168" s="122"/>
      <c r="BY168" s="122"/>
      <c r="BZ168" s="122"/>
      <c r="CA168" s="122"/>
      <c r="CB168" s="122"/>
      <c r="CC168" s="122"/>
      <c r="CD168" s="122"/>
      <c r="CE168" s="122"/>
      <c r="CF168" s="122"/>
      <c r="CG168" s="122"/>
      <c r="CH168" s="122"/>
      <c r="CI168" s="122"/>
      <c r="CJ168" s="122"/>
      <c r="CK168" s="122"/>
      <c r="CL168" s="122"/>
    </row>
    <row r="169" spans="16:90" ht="15" customHeight="1" x14ac:dyDescent="0.2"/>
    <row r="170" spans="16:90" ht="15" customHeight="1" x14ac:dyDescent="0.2"/>
    <row r="171" spans="16:90" ht="15" customHeight="1" x14ac:dyDescent="0.2"/>
    <row r="172" spans="16:90" ht="15" customHeight="1" x14ac:dyDescent="0.2">
      <c r="P172" s="122"/>
      <c r="Q172" s="122"/>
      <c r="R172" s="122"/>
      <c r="S172" s="122"/>
      <c r="T172" s="122"/>
      <c r="U172" s="122"/>
      <c r="V172" s="122"/>
      <c r="W172" s="122"/>
      <c r="X172" s="122"/>
      <c r="Y172" s="122"/>
      <c r="Z172" s="122"/>
      <c r="AA172" s="122"/>
      <c r="AB172" s="122"/>
      <c r="AC172" s="122"/>
      <c r="AD172" s="122"/>
      <c r="AE172" s="122"/>
      <c r="AF172" s="122"/>
      <c r="AG172" s="122"/>
      <c r="AH172" s="122"/>
      <c r="AI172" s="122"/>
      <c r="AJ172" s="122"/>
      <c r="AK172" s="122"/>
      <c r="AL172" s="122"/>
      <c r="AM172" s="122"/>
      <c r="AN172" s="122"/>
      <c r="AO172" s="122"/>
      <c r="AP172" s="122"/>
      <c r="AQ172" s="122"/>
      <c r="AR172" s="122"/>
      <c r="AS172" s="122"/>
      <c r="AT172" s="122"/>
      <c r="AU172" s="122"/>
      <c r="AV172" s="122"/>
      <c r="AW172" s="122"/>
      <c r="AX172" s="122"/>
      <c r="AY172" s="122"/>
      <c r="AZ172" s="122"/>
      <c r="BA172" s="122"/>
      <c r="BB172" s="122"/>
      <c r="BC172" s="122"/>
      <c r="BD172" s="122"/>
      <c r="BE172" s="122"/>
      <c r="BF172" s="122"/>
      <c r="BG172" s="122"/>
      <c r="BH172" s="122"/>
      <c r="BI172" s="122"/>
      <c r="BJ172" s="122"/>
      <c r="BK172" s="122"/>
      <c r="BL172" s="122"/>
      <c r="BM172" s="122"/>
      <c r="BN172" s="122"/>
      <c r="BO172" s="122"/>
      <c r="BP172" s="122"/>
      <c r="BQ172" s="122"/>
      <c r="BR172" s="122"/>
      <c r="BS172" s="122"/>
      <c r="BT172" s="122"/>
      <c r="BU172" s="122"/>
      <c r="BV172" s="122"/>
      <c r="BW172" s="122"/>
      <c r="BX172" s="122"/>
      <c r="BY172" s="122"/>
      <c r="BZ172" s="122"/>
      <c r="CA172" s="122"/>
      <c r="CB172" s="122"/>
      <c r="CC172" s="122"/>
      <c r="CD172" s="122"/>
      <c r="CE172" s="122"/>
      <c r="CF172" s="122"/>
      <c r="CG172" s="122"/>
      <c r="CH172" s="122"/>
      <c r="CI172" s="122"/>
      <c r="CJ172" s="122"/>
      <c r="CK172" s="122"/>
      <c r="CL172" s="122"/>
    </row>
    <row r="173" spans="16:90" ht="15" customHeight="1" x14ac:dyDescent="0.2"/>
    <row r="174" spans="16:90" ht="15" customHeight="1" x14ac:dyDescent="0.2"/>
    <row r="175" spans="16:90" ht="15" customHeight="1" x14ac:dyDescent="0.2"/>
    <row r="176" spans="16:90" ht="15" customHeight="1" x14ac:dyDescent="0.2"/>
    <row r="177" spans="16:91" ht="15" customHeight="1" x14ac:dyDescent="0.2"/>
    <row r="178" spans="16:91" ht="15" customHeight="1" x14ac:dyDescent="0.2">
      <c r="P178" s="80"/>
      <c r="Q178" s="80"/>
      <c r="R178" s="80"/>
      <c r="S178" s="80"/>
      <c r="T178" s="80"/>
      <c r="U178" s="124"/>
      <c r="V178" s="124"/>
      <c r="W178" s="80"/>
      <c r="X178" s="80"/>
      <c r="Y178" s="80"/>
      <c r="Z178" s="80"/>
      <c r="AA178" s="80"/>
      <c r="AB178" s="80"/>
      <c r="AC178" s="80"/>
      <c r="AD178" s="80"/>
      <c r="AE178" s="80"/>
      <c r="AF178" s="80"/>
      <c r="AG178" s="80"/>
      <c r="AH178" s="80"/>
      <c r="AI178" s="80"/>
      <c r="AJ178" s="80"/>
      <c r="AK178" s="80"/>
      <c r="AL178" s="80"/>
      <c r="AM178" s="80"/>
      <c r="AN178" s="80"/>
      <c r="AO178" s="80"/>
      <c r="AP178" s="80"/>
      <c r="AQ178" s="80"/>
      <c r="AR178" s="80"/>
      <c r="AS178" s="80"/>
      <c r="AT178" s="80"/>
      <c r="AU178" s="80"/>
      <c r="AV178" s="80"/>
      <c r="AW178" s="80"/>
      <c r="AX178" s="80"/>
      <c r="AY178" s="80"/>
      <c r="AZ178" s="80"/>
      <c r="BA178" s="80"/>
      <c r="BB178" s="80"/>
      <c r="BC178" s="80"/>
      <c r="BD178" s="80"/>
      <c r="BE178" s="80"/>
      <c r="BF178" s="80"/>
      <c r="BG178" s="124"/>
      <c r="BH178" s="124"/>
      <c r="BI178" s="80"/>
      <c r="BJ178" s="80"/>
      <c r="BK178" s="80"/>
      <c r="BL178" s="80"/>
      <c r="BM178" s="80"/>
      <c r="BN178" s="80"/>
      <c r="BO178" s="124"/>
      <c r="BP178" s="124"/>
      <c r="BQ178" s="80"/>
      <c r="BR178" s="80"/>
      <c r="BS178" s="80"/>
      <c r="BT178" s="80"/>
    </row>
    <row r="179" spans="16:91" ht="15" customHeight="1" x14ac:dyDescent="0.2">
      <c r="P179" s="80"/>
      <c r="Q179" s="80"/>
      <c r="R179" s="80"/>
      <c r="S179" s="80"/>
      <c r="T179" s="80"/>
      <c r="U179" s="124"/>
      <c r="V179" s="124"/>
      <c r="W179" s="80"/>
      <c r="X179" s="80"/>
      <c r="Y179" s="80"/>
      <c r="Z179" s="80"/>
      <c r="AA179" s="80"/>
      <c r="AB179" s="80"/>
      <c r="AC179" s="80"/>
      <c r="AD179" s="80"/>
      <c r="AE179" s="80"/>
      <c r="AF179" s="80"/>
      <c r="AG179" s="80"/>
      <c r="AH179" s="80"/>
      <c r="AI179" s="80"/>
      <c r="AJ179" s="80"/>
      <c r="AK179" s="80"/>
      <c r="AL179" s="80"/>
      <c r="AM179" s="80"/>
      <c r="AN179" s="80"/>
      <c r="AO179" s="80"/>
      <c r="AP179" s="80"/>
      <c r="AQ179" s="80"/>
      <c r="AR179" s="80"/>
      <c r="AS179" s="80"/>
      <c r="AT179" s="80"/>
      <c r="AU179" s="80"/>
      <c r="AV179" s="80"/>
      <c r="AW179" s="80"/>
      <c r="AX179" s="80"/>
      <c r="AY179" s="80"/>
      <c r="AZ179" s="80"/>
      <c r="BA179" s="80"/>
      <c r="BB179" s="80"/>
      <c r="BC179" s="80"/>
      <c r="BD179" s="80"/>
      <c r="BE179" s="80"/>
      <c r="BF179" s="80"/>
      <c r="BG179" s="124"/>
      <c r="BH179" s="124"/>
      <c r="BI179" s="80"/>
      <c r="BJ179" s="80"/>
      <c r="BK179" s="80"/>
      <c r="BL179" s="80"/>
      <c r="BM179" s="80"/>
      <c r="BN179" s="80"/>
      <c r="BO179" s="124"/>
      <c r="BP179" s="124"/>
      <c r="BQ179" s="80"/>
      <c r="BR179" s="80"/>
      <c r="BS179" s="80"/>
      <c r="BT179" s="80"/>
    </row>
    <row r="180" spans="16:91" ht="15" customHeight="1" x14ac:dyDescent="0.2">
      <c r="P180" s="125"/>
      <c r="Q180" s="122"/>
      <c r="R180" s="125"/>
      <c r="S180" s="122"/>
      <c r="T180" s="125"/>
      <c r="U180" s="122"/>
      <c r="V180" s="125"/>
      <c r="W180" s="122"/>
      <c r="X180" s="125"/>
      <c r="Y180" s="122"/>
      <c r="Z180" s="125"/>
      <c r="AA180" s="122"/>
      <c r="AB180" s="125"/>
      <c r="AC180" s="122"/>
      <c r="AD180" s="125"/>
      <c r="AE180" s="122"/>
      <c r="AF180" s="125"/>
      <c r="AG180" s="122"/>
      <c r="AH180" s="125"/>
      <c r="AI180" s="122"/>
      <c r="AJ180" s="125"/>
      <c r="AK180" s="122"/>
      <c r="AL180" s="125"/>
      <c r="AM180" s="122"/>
      <c r="AN180" s="125"/>
      <c r="AO180" s="122"/>
      <c r="AP180" s="125"/>
      <c r="AQ180" s="122"/>
      <c r="AR180" s="125"/>
      <c r="AS180" s="122"/>
      <c r="AT180" s="125"/>
      <c r="AU180" s="122"/>
      <c r="AV180" s="125"/>
      <c r="AW180" s="122"/>
      <c r="AX180" s="125"/>
      <c r="AY180" s="122"/>
      <c r="AZ180" s="125"/>
      <c r="BA180" s="122"/>
      <c r="BB180" s="125"/>
      <c r="BC180" s="122"/>
      <c r="BD180" s="125"/>
      <c r="BE180" s="122"/>
      <c r="BF180" s="125"/>
      <c r="BG180" s="122"/>
      <c r="BH180" s="125"/>
      <c r="BI180" s="122"/>
      <c r="BJ180" s="125"/>
      <c r="BK180" s="122"/>
      <c r="BL180" s="125"/>
      <c r="BM180" s="122"/>
      <c r="BN180" s="125"/>
      <c r="BO180" s="122"/>
      <c r="BP180" s="125"/>
      <c r="BQ180" s="122"/>
      <c r="BR180" s="125"/>
      <c r="BS180" s="122"/>
      <c r="BT180" s="125"/>
      <c r="BU180" s="122"/>
      <c r="BV180" s="125"/>
      <c r="BW180" s="122"/>
      <c r="BX180" s="125"/>
      <c r="BY180" s="122"/>
      <c r="BZ180" s="125"/>
      <c r="CA180" s="122"/>
      <c r="CB180" s="125"/>
      <c r="CC180" s="122"/>
      <c r="CD180" s="125"/>
      <c r="CE180" s="122"/>
      <c r="CF180" s="125"/>
      <c r="CG180" s="122"/>
      <c r="CH180" s="125"/>
      <c r="CI180" s="122"/>
      <c r="CJ180" s="125"/>
      <c r="CK180" s="122"/>
      <c r="CL180" s="125"/>
      <c r="CM180" s="122"/>
    </row>
    <row r="181" spans="16:91" ht="15" customHeight="1" x14ac:dyDescent="0.2">
      <c r="P181" s="125"/>
      <c r="Q181" s="122"/>
      <c r="R181" s="125"/>
      <c r="S181" s="122"/>
      <c r="T181" s="125"/>
      <c r="U181" s="122"/>
      <c r="V181" s="125"/>
      <c r="W181" s="122"/>
      <c r="X181" s="125"/>
      <c r="Y181" s="122"/>
      <c r="Z181" s="125"/>
      <c r="AA181" s="122"/>
      <c r="AB181" s="125"/>
      <c r="AC181" s="122"/>
      <c r="AD181" s="125"/>
      <c r="AE181" s="122"/>
      <c r="AF181" s="125"/>
      <c r="AG181" s="122"/>
      <c r="AH181" s="125"/>
      <c r="AI181" s="122"/>
      <c r="AJ181" s="125"/>
      <c r="AK181" s="122"/>
      <c r="AL181" s="125"/>
      <c r="AM181" s="122"/>
      <c r="AN181" s="125"/>
      <c r="AO181" s="122"/>
      <c r="AP181" s="125"/>
      <c r="AQ181" s="122"/>
      <c r="AR181" s="125"/>
      <c r="AS181" s="122"/>
      <c r="AT181" s="125"/>
      <c r="AU181" s="122"/>
      <c r="AV181" s="125"/>
      <c r="AW181" s="122"/>
      <c r="AX181" s="125"/>
      <c r="AY181" s="122"/>
      <c r="AZ181" s="125"/>
      <c r="BA181" s="122"/>
      <c r="BB181" s="125"/>
      <c r="BC181" s="122"/>
      <c r="BD181" s="125"/>
      <c r="BE181" s="122"/>
      <c r="BF181" s="125"/>
      <c r="BG181" s="122"/>
      <c r="BH181" s="125"/>
      <c r="BI181" s="122"/>
      <c r="BJ181" s="125"/>
      <c r="BK181" s="122"/>
      <c r="BL181" s="125"/>
      <c r="BM181" s="122"/>
      <c r="BN181" s="125"/>
      <c r="BO181" s="122"/>
      <c r="BP181" s="125"/>
      <c r="BQ181" s="122"/>
      <c r="BR181" s="125"/>
      <c r="BS181" s="122"/>
      <c r="BT181" s="125"/>
      <c r="BU181" s="122"/>
      <c r="BV181" s="125"/>
      <c r="BW181" s="122"/>
      <c r="BX181" s="125"/>
      <c r="BY181" s="122"/>
      <c r="BZ181" s="125"/>
      <c r="CA181" s="122"/>
      <c r="CB181" s="125"/>
      <c r="CC181" s="122"/>
      <c r="CD181" s="125"/>
      <c r="CE181" s="122"/>
      <c r="CF181" s="125"/>
      <c r="CG181" s="122"/>
      <c r="CH181" s="125"/>
      <c r="CI181" s="122"/>
      <c r="CJ181" s="125"/>
      <c r="CK181" s="122"/>
      <c r="CL181" s="125"/>
      <c r="CM181" s="122"/>
    </row>
    <row r="182" spans="16:91" ht="15" customHeight="1" x14ac:dyDescent="0.2">
      <c r="P182" s="125"/>
      <c r="Q182" s="122"/>
      <c r="R182" s="125"/>
      <c r="S182" s="122"/>
      <c r="T182" s="125"/>
      <c r="U182" s="122"/>
      <c r="V182" s="125"/>
      <c r="W182" s="122"/>
      <c r="X182" s="125"/>
      <c r="Y182" s="122"/>
      <c r="Z182" s="125"/>
      <c r="AA182" s="122"/>
      <c r="AB182" s="125"/>
      <c r="AC182" s="122"/>
      <c r="AD182" s="125"/>
      <c r="AE182" s="122"/>
      <c r="AF182" s="125"/>
      <c r="AG182" s="122"/>
      <c r="AH182" s="125"/>
      <c r="AI182" s="122"/>
      <c r="AJ182" s="125"/>
      <c r="AK182" s="122"/>
      <c r="AL182" s="125"/>
      <c r="AM182" s="122"/>
      <c r="AN182" s="125"/>
      <c r="AO182" s="122"/>
      <c r="AP182" s="125"/>
      <c r="AQ182" s="122"/>
      <c r="AR182" s="125"/>
      <c r="AS182" s="122"/>
      <c r="AT182" s="125"/>
      <c r="AU182" s="122"/>
      <c r="AV182" s="125"/>
      <c r="AW182" s="122"/>
      <c r="AX182" s="125"/>
      <c r="AY182" s="122"/>
      <c r="AZ182" s="125"/>
      <c r="BA182" s="122"/>
      <c r="BB182" s="125"/>
      <c r="BC182" s="122"/>
      <c r="BD182" s="125"/>
      <c r="BE182" s="122"/>
      <c r="BF182" s="125"/>
      <c r="BG182" s="122"/>
      <c r="BH182" s="125"/>
      <c r="BI182" s="122"/>
      <c r="BJ182" s="125"/>
      <c r="BK182" s="122"/>
      <c r="BL182" s="125"/>
      <c r="BM182" s="122"/>
      <c r="BN182" s="125"/>
      <c r="BO182" s="122"/>
      <c r="BP182" s="125"/>
      <c r="BQ182" s="122"/>
      <c r="BR182" s="125"/>
      <c r="BS182" s="122"/>
      <c r="BT182" s="125"/>
      <c r="BU182" s="122"/>
      <c r="BV182" s="125"/>
      <c r="BW182" s="122"/>
      <c r="BX182" s="125"/>
      <c r="BY182" s="122"/>
      <c r="BZ182" s="125"/>
      <c r="CA182" s="122"/>
      <c r="CB182" s="125"/>
      <c r="CC182" s="122"/>
      <c r="CD182" s="125"/>
      <c r="CE182" s="122"/>
      <c r="CF182" s="125"/>
      <c r="CG182" s="122"/>
      <c r="CH182" s="125"/>
      <c r="CI182" s="122"/>
      <c r="CJ182" s="125"/>
      <c r="CK182" s="122"/>
      <c r="CL182" s="125"/>
      <c r="CM182" s="122"/>
    </row>
    <row r="183" spans="16:91" ht="15" customHeight="1" x14ac:dyDescent="0.2">
      <c r="P183" s="125"/>
      <c r="Q183" s="122"/>
      <c r="R183" s="125"/>
      <c r="S183" s="122"/>
      <c r="T183" s="125"/>
      <c r="U183" s="122"/>
      <c r="V183" s="125"/>
      <c r="W183" s="122"/>
      <c r="X183" s="125"/>
      <c r="Y183" s="122"/>
      <c r="Z183" s="125"/>
      <c r="AA183" s="122"/>
      <c r="AB183" s="125"/>
      <c r="AC183" s="122"/>
      <c r="AD183" s="125"/>
      <c r="AE183" s="122"/>
      <c r="AF183" s="125"/>
      <c r="AG183" s="122"/>
      <c r="AH183" s="125"/>
      <c r="AI183" s="122"/>
      <c r="AJ183" s="125"/>
      <c r="AK183" s="122"/>
      <c r="AL183" s="125"/>
      <c r="AM183" s="122"/>
      <c r="AN183" s="125"/>
      <c r="AO183" s="122"/>
      <c r="AP183" s="125"/>
      <c r="AQ183" s="122"/>
      <c r="AR183" s="125"/>
      <c r="AS183" s="122"/>
      <c r="AT183" s="125"/>
      <c r="AU183" s="122"/>
      <c r="AV183" s="125"/>
      <c r="AW183" s="122"/>
      <c r="AX183" s="125"/>
      <c r="AY183" s="122"/>
      <c r="AZ183" s="125"/>
      <c r="BA183" s="122"/>
      <c r="BB183" s="125"/>
      <c r="BC183" s="122"/>
      <c r="BD183" s="125"/>
      <c r="BE183" s="122"/>
      <c r="BF183" s="125"/>
      <c r="BG183" s="122"/>
      <c r="BH183" s="125"/>
      <c r="BI183" s="122"/>
      <c r="BJ183" s="125"/>
      <c r="BK183" s="122"/>
      <c r="BL183" s="125"/>
      <c r="BM183" s="122"/>
      <c r="BN183" s="125"/>
      <c r="BO183" s="122"/>
      <c r="BP183" s="125"/>
      <c r="BQ183" s="122"/>
      <c r="BR183" s="125"/>
      <c r="BS183" s="122"/>
      <c r="BT183" s="125"/>
      <c r="BU183" s="122"/>
      <c r="BV183" s="125"/>
      <c r="BW183" s="122"/>
      <c r="BX183" s="125"/>
      <c r="BY183" s="122"/>
      <c r="BZ183" s="125"/>
      <c r="CA183" s="122"/>
      <c r="CB183" s="125"/>
      <c r="CC183" s="122"/>
      <c r="CD183" s="125"/>
      <c r="CE183" s="122"/>
      <c r="CF183" s="125"/>
      <c r="CG183" s="122"/>
      <c r="CH183" s="125"/>
      <c r="CI183" s="122"/>
      <c r="CJ183" s="125"/>
      <c r="CK183" s="122"/>
      <c r="CL183" s="125"/>
      <c r="CM183" s="122"/>
    </row>
    <row r="184" spans="16:91" ht="15" customHeight="1" x14ac:dyDescent="0.2">
      <c r="P184" s="122"/>
      <c r="Q184" s="122"/>
      <c r="R184" s="122"/>
      <c r="S184" s="122"/>
      <c r="T184" s="122"/>
      <c r="U184" s="122"/>
      <c r="V184" s="122"/>
      <c r="W184" s="122"/>
      <c r="X184" s="122"/>
      <c r="Y184" s="122"/>
      <c r="Z184" s="122"/>
      <c r="AA184" s="122"/>
      <c r="AB184" s="122"/>
      <c r="AC184" s="122"/>
      <c r="AD184" s="122"/>
      <c r="AE184" s="122"/>
      <c r="AF184" s="122"/>
      <c r="AG184" s="122"/>
      <c r="AH184" s="122"/>
      <c r="AI184" s="122"/>
      <c r="AJ184" s="122"/>
      <c r="AK184" s="122"/>
      <c r="AL184" s="122"/>
      <c r="AM184" s="122"/>
      <c r="AN184" s="122"/>
      <c r="AO184" s="122"/>
      <c r="AP184" s="122"/>
      <c r="AQ184" s="122"/>
      <c r="AR184" s="122"/>
      <c r="AS184" s="122"/>
      <c r="AT184" s="122"/>
      <c r="AU184" s="122"/>
      <c r="AV184" s="122"/>
      <c r="AW184" s="122"/>
      <c r="AX184" s="122"/>
      <c r="AY184" s="122"/>
      <c r="AZ184" s="122"/>
      <c r="BA184" s="122"/>
      <c r="BB184" s="122"/>
      <c r="BC184" s="122"/>
      <c r="BD184" s="122"/>
      <c r="BE184" s="122"/>
      <c r="BF184" s="122"/>
      <c r="BG184" s="122"/>
      <c r="BH184" s="122"/>
      <c r="BI184" s="122"/>
      <c r="BJ184" s="122"/>
      <c r="BK184" s="122"/>
      <c r="BL184" s="122"/>
      <c r="BM184" s="122"/>
      <c r="BN184" s="122"/>
      <c r="BO184" s="122"/>
      <c r="BP184" s="122"/>
      <c r="BQ184" s="122"/>
      <c r="BR184" s="122"/>
      <c r="BS184" s="122"/>
      <c r="BT184" s="122"/>
      <c r="BU184" s="122"/>
      <c r="BV184" s="122"/>
      <c r="BW184" s="122"/>
      <c r="BX184" s="122"/>
      <c r="BY184" s="122"/>
      <c r="BZ184" s="122"/>
      <c r="CA184" s="122"/>
      <c r="CB184" s="122"/>
      <c r="CC184" s="122"/>
      <c r="CD184" s="122"/>
      <c r="CE184" s="122"/>
      <c r="CF184" s="122"/>
      <c r="CG184" s="122"/>
      <c r="CH184" s="122"/>
      <c r="CI184" s="122"/>
      <c r="CJ184" s="122"/>
      <c r="CK184" s="122"/>
      <c r="CL184" s="122"/>
      <c r="CM184" s="122"/>
    </row>
    <row r="185" spans="16:91" ht="15" customHeight="1" x14ac:dyDescent="0.2">
      <c r="P185" s="122"/>
      <c r="Q185" s="122"/>
      <c r="R185" s="122"/>
      <c r="S185" s="122"/>
      <c r="T185" s="122"/>
      <c r="U185" s="122"/>
      <c r="V185" s="122"/>
      <c r="W185" s="122"/>
      <c r="X185" s="122"/>
      <c r="Y185" s="122"/>
      <c r="Z185" s="122"/>
      <c r="AA185" s="122"/>
      <c r="AB185" s="122"/>
      <c r="AC185" s="122"/>
      <c r="AD185" s="122"/>
      <c r="AE185" s="122"/>
      <c r="AF185" s="122"/>
      <c r="AG185" s="122"/>
      <c r="AH185" s="122"/>
      <c r="AI185" s="122"/>
      <c r="AJ185" s="122"/>
      <c r="AK185" s="122"/>
      <c r="AL185" s="122"/>
      <c r="AM185" s="122"/>
      <c r="AN185" s="122"/>
      <c r="AO185" s="122"/>
      <c r="AP185" s="122"/>
      <c r="AQ185" s="122"/>
      <c r="AR185" s="122"/>
      <c r="AS185" s="122"/>
      <c r="AT185" s="122"/>
      <c r="AU185" s="122"/>
      <c r="AV185" s="122"/>
      <c r="AW185" s="122"/>
      <c r="AX185" s="122"/>
      <c r="AY185" s="122"/>
      <c r="AZ185" s="122"/>
      <c r="BA185" s="122"/>
      <c r="BB185" s="122"/>
      <c r="BC185" s="122"/>
      <c r="BD185" s="122"/>
      <c r="BE185" s="122"/>
      <c r="BF185" s="122"/>
      <c r="BG185" s="122"/>
      <c r="BH185" s="122"/>
      <c r="BI185" s="122"/>
      <c r="BJ185" s="122"/>
      <c r="BK185" s="122"/>
      <c r="BL185" s="122"/>
      <c r="BM185" s="122"/>
      <c r="BN185" s="122"/>
      <c r="BO185" s="122"/>
      <c r="BP185" s="122"/>
      <c r="BQ185" s="122"/>
      <c r="BR185" s="122"/>
      <c r="BS185" s="122"/>
      <c r="BT185" s="122"/>
      <c r="BU185" s="122"/>
      <c r="BV185" s="122"/>
      <c r="BW185" s="122"/>
      <c r="BX185" s="122"/>
      <c r="BY185" s="122"/>
      <c r="BZ185" s="122"/>
      <c r="CA185" s="122"/>
      <c r="CB185" s="122"/>
      <c r="CC185" s="122"/>
      <c r="CD185" s="122"/>
      <c r="CE185" s="122"/>
      <c r="CF185" s="122"/>
      <c r="CG185" s="122"/>
      <c r="CH185" s="122"/>
      <c r="CI185" s="122"/>
      <c r="CJ185" s="122"/>
      <c r="CK185" s="122"/>
      <c r="CL185" s="122"/>
      <c r="CM185" s="122"/>
    </row>
    <row r="186" spans="16:91" ht="15" customHeight="1" x14ac:dyDescent="0.2">
      <c r="P186" s="122"/>
      <c r="Q186" s="122"/>
      <c r="R186" s="122"/>
      <c r="S186" s="122"/>
      <c r="T186" s="122"/>
      <c r="U186" s="122"/>
      <c r="V186" s="122"/>
      <c r="W186" s="122"/>
      <c r="X186" s="122"/>
      <c r="Y186" s="122"/>
      <c r="Z186" s="122"/>
      <c r="AA186" s="122"/>
      <c r="AB186" s="122"/>
      <c r="AC186" s="122"/>
      <c r="AD186" s="122"/>
      <c r="AE186" s="122"/>
      <c r="AF186" s="122"/>
      <c r="AG186" s="122"/>
      <c r="AH186" s="122"/>
      <c r="AI186" s="122"/>
      <c r="AJ186" s="122"/>
      <c r="AK186" s="122"/>
      <c r="AL186" s="122"/>
      <c r="AM186" s="122"/>
      <c r="AN186" s="122"/>
      <c r="AO186" s="122"/>
      <c r="AP186" s="122"/>
      <c r="AQ186" s="122"/>
      <c r="AR186" s="122"/>
      <c r="AS186" s="122"/>
      <c r="AT186" s="122"/>
      <c r="AU186" s="122"/>
      <c r="AV186" s="122"/>
      <c r="AW186" s="122"/>
      <c r="AX186" s="122"/>
      <c r="AY186" s="122"/>
      <c r="AZ186" s="122"/>
      <c r="BA186" s="122"/>
      <c r="BB186" s="122"/>
      <c r="BC186" s="122"/>
      <c r="BD186" s="122"/>
      <c r="BE186" s="122"/>
      <c r="BF186" s="122"/>
      <c r="BG186" s="122"/>
      <c r="BH186" s="122"/>
      <c r="BI186" s="122"/>
      <c r="BJ186" s="122"/>
      <c r="BK186" s="122"/>
      <c r="BL186" s="122"/>
      <c r="BM186" s="122"/>
      <c r="BN186" s="122"/>
      <c r="BO186" s="122"/>
      <c r="BP186" s="122"/>
      <c r="BQ186" s="122"/>
      <c r="BR186" s="122"/>
      <c r="BS186" s="122"/>
      <c r="BT186" s="122"/>
      <c r="BU186" s="122"/>
      <c r="BV186" s="122"/>
      <c r="BW186" s="122"/>
      <c r="BX186" s="122"/>
      <c r="BY186" s="122"/>
      <c r="BZ186" s="122"/>
      <c r="CA186" s="122"/>
      <c r="CB186" s="122"/>
      <c r="CC186" s="122"/>
      <c r="CD186" s="122"/>
      <c r="CE186" s="122"/>
      <c r="CF186" s="122"/>
      <c r="CG186" s="122"/>
      <c r="CH186" s="122"/>
      <c r="CI186" s="122"/>
      <c r="CJ186" s="122"/>
      <c r="CK186" s="122"/>
      <c r="CL186" s="122"/>
      <c r="CM186" s="122"/>
    </row>
    <row r="187" spans="16:91" ht="15" customHeight="1" x14ac:dyDescent="0.2">
      <c r="P187" s="122"/>
      <c r="Q187" s="122"/>
      <c r="R187" s="122"/>
      <c r="S187" s="122"/>
      <c r="T187" s="122"/>
      <c r="U187" s="122"/>
      <c r="V187" s="122"/>
      <c r="W187" s="122"/>
      <c r="X187" s="122"/>
      <c r="Y187" s="122"/>
      <c r="Z187" s="122"/>
      <c r="AA187" s="122"/>
      <c r="AB187" s="122"/>
      <c r="AC187" s="122"/>
      <c r="AD187" s="122"/>
      <c r="AE187" s="122"/>
      <c r="AF187" s="122"/>
      <c r="AG187" s="122"/>
      <c r="AH187" s="122"/>
      <c r="AI187" s="122"/>
      <c r="AJ187" s="122"/>
      <c r="AK187" s="122"/>
      <c r="AL187" s="122"/>
      <c r="AM187" s="122"/>
      <c r="AN187" s="122"/>
      <c r="AO187" s="122"/>
      <c r="AP187" s="122"/>
      <c r="AQ187" s="122"/>
      <c r="AR187" s="122"/>
      <c r="AS187" s="122"/>
      <c r="AT187" s="122"/>
      <c r="AU187" s="122"/>
      <c r="AV187" s="122"/>
      <c r="AW187" s="122"/>
      <c r="AX187" s="122"/>
      <c r="AY187" s="122"/>
      <c r="AZ187" s="122"/>
      <c r="BA187" s="122"/>
      <c r="BB187" s="122"/>
      <c r="BC187" s="122"/>
      <c r="BD187" s="122"/>
      <c r="BE187" s="122"/>
      <c r="BF187" s="122"/>
      <c r="BG187" s="122"/>
      <c r="BH187" s="122"/>
      <c r="BI187" s="122"/>
      <c r="BJ187" s="122"/>
      <c r="BK187" s="122"/>
      <c r="BL187" s="122"/>
      <c r="BM187" s="122"/>
      <c r="BN187" s="122"/>
      <c r="BO187" s="122"/>
      <c r="BP187" s="122"/>
      <c r="BQ187" s="122"/>
      <c r="BR187" s="122"/>
      <c r="BS187" s="122"/>
      <c r="BT187" s="122"/>
      <c r="BU187" s="122"/>
      <c r="BV187" s="122"/>
      <c r="BW187" s="122"/>
      <c r="BX187" s="122"/>
      <c r="BY187" s="122"/>
      <c r="BZ187" s="122"/>
      <c r="CA187" s="122"/>
      <c r="CB187" s="122"/>
      <c r="CC187" s="122"/>
      <c r="CD187" s="122"/>
      <c r="CE187" s="122"/>
      <c r="CF187" s="122"/>
      <c r="CG187" s="122"/>
      <c r="CH187" s="122"/>
      <c r="CI187" s="122"/>
      <c r="CJ187" s="122"/>
      <c r="CK187" s="122"/>
      <c r="CL187" s="122"/>
      <c r="CM187" s="122"/>
    </row>
    <row r="188" spans="16:91" ht="15" customHeight="1" x14ac:dyDescent="0.2">
      <c r="P188" s="122"/>
      <c r="Q188" s="122"/>
      <c r="R188" s="122"/>
      <c r="S188" s="122"/>
      <c r="T188" s="122"/>
      <c r="U188" s="122"/>
      <c r="V188" s="122"/>
      <c r="W188" s="122"/>
      <c r="X188" s="122"/>
      <c r="Y188" s="122"/>
      <c r="Z188" s="122"/>
      <c r="AA188" s="122"/>
      <c r="AB188" s="122"/>
      <c r="AC188" s="122"/>
      <c r="AD188" s="122"/>
      <c r="AE188" s="122"/>
      <c r="AF188" s="122"/>
      <c r="AG188" s="122"/>
      <c r="AH188" s="122"/>
      <c r="AI188" s="122"/>
      <c r="AJ188" s="122"/>
      <c r="AK188" s="122"/>
      <c r="AL188" s="122"/>
      <c r="AM188" s="122"/>
      <c r="AN188" s="122"/>
      <c r="AO188" s="122"/>
      <c r="AP188" s="122"/>
      <c r="AQ188" s="122"/>
      <c r="AR188" s="122"/>
      <c r="AS188" s="122"/>
      <c r="AT188" s="122"/>
      <c r="AU188" s="122"/>
      <c r="AV188" s="122"/>
      <c r="AW188" s="122"/>
      <c r="AX188" s="122"/>
      <c r="AY188" s="122"/>
      <c r="AZ188" s="122"/>
      <c r="BA188" s="122"/>
      <c r="BB188" s="122"/>
      <c r="BC188" s="122"/>
      <c r="BD188" s="122"/>
      <c r="BE188" s="122"/>
      <c r="BF188" s="122"/>
      <c r="BG188" s="122"/>
      <c r="BH188" s="122"/>
      <c r="BI188" s="122"/>
      <c r="BJ188" s="122"/>
      <c r="BK188" s="122"/>
      <c r="BL188" s="122"/>
      <c r="BM188" s="122"/>
      <c r="BN188" s="122"/>
      <c r="BO188" s="122"/>
      <c r="BP188" s="122"/>
      <c r="BQ188" s="122"/>
      <c r="BR188" s="122"/>
      <c r="BS188" s="122"/>
      <c r="BT188" s="122"/>
      <c r="BU188" s="122"/>
      <c r="BV188" s="122"/>
      <c r="BW188" s="122"/>
      <c r="BX188" s="122"/>
      <c r="BY188" s="122"/>
      <c r="BZ188" s="122"/>
      <c r="CA188" s="122"/>
      <c r="CB188" s="122"/>
      <c r="CC188" s="122"/>
      <c r="CD188" s="122"/>
      <c r="CE188" s="122"/>
      <c r="CF188" s="122"/>
      <c r="CG188" s="122"/>
      <c r="CH188" s="122"/>
      <c r="CI188" s="122"/>
      <c r="CJ188" s="122"/>
      <c r="CK188" s="122"/>
      <c r="CL188" s="122"/>
      <c r="CM188" s="122"/>
    </row>
    <row r="189" spans="16:91" ht="15" customHeight="1" x14ac:dyDescent="0.2">
      <c r="P189" s="122"/>
      <c r="Q189" s="122"/>
      <c r="R189" s="122"/>
      <c r="S189" s="122"/>
      <c r="T189" s="122"/>
      <c r="U189" s="122"/>
      <c r="V189" s="122"/>
      <c r="W189" s="122"/>
      <c r="X189" s="122"/>
      <c r="Y189" s="122"/>
      <c r="Z189" s="122"/>
      <c r="AA189" s="122"/>
      <c r="AB189" s="122"/>
      <c r="AC189" s="122"/>
      <c r="AD189" s="122"/>
      <c r="AE189" s="122"/>
      <c r="AF189" s="122"/>
      <c r="AG189" s="122"/>
      <c r="AH189" s="122"/>
      <c r="AI189" s="122"/>
      <c r="AJ189" s="122"/>
      <c r="AK189" s="122"/>
      <c r="AL189" s="122"/>
      <c r="AM189" s="122"/>
      <c r="AN189" s="122"/>
      <c r="AO189" s="122"/>
      <c r="AP189" s="122"/>
      <c r="AQ189" s="122"/>
      <c r="AR189" s="122"/>
      <c r="AS189" s="122"/>
      <c r="AT189" s="122"/>
      <c r="AU189" s="122"/>
      <c r="AV189" s="122"/>
      <c r="AW189" s="122"/>
      <c r="AX189" s="122"/>
      <c r="AY189" s="122"/>
      <c r="AZ189" s="122"/>
      <c r="BA189" s="122"/>
      <c r="BB189" s="122"/>
      <c r="BC189" s="122"/>
      <c r="BD189" s="122"/>
      <c r="BE189" s="122"/>
      <c r="BF189" s="122"/>
      <c r="BG189" s="122"/>
      <c r="BH189" s="122"/>
      <c r="BI189" s="122"/>
      <c r="BJ189" s="122"/>
      <c r="BK189" s="122"/>
      <c r="BL189" s="122"/>
      <c r="BM189" s="122"/>
      <c r="BN189" s="122"/>
      <c r="BO189" s="122"/>
      <c r="BP189" s="122"/>
      <c r="BQ189" s="122"/>
      <c r="BR189" s="122"/>
      <c r="BS189" s="122"/>
      <c r="BT189" s="122"/>
      <c r="BU189" s="122"/>
      <c r="BV189" s="122"/>
      <c r="BW189" s="122"/>
      <c r="BX189" s="122"/>
      <c r="BY189" s="122"/>
      <c r="BZ189" s="122"/>
      <c r="CA189" s="122"/>
      <c r="CB189" s="122"/>
      <c r="CC189" s="122"/>
      <c r="CD189" s="122"/>
      <c r="CE189" s="122"/>
      <c r="CF189" s="122"/>
      <c r="CG189" s="122"/>
      <c r="CH189" s="122"/>
      <c r="CI189" s="122"/>
      <c r="CJ189" s="122"/>
      <c r="CK189" s="122"/>
      <c r="CL189" s="122"/>
      <c r="CM189" s="122"/>
    </row>
    <row r="190" spans="16:91" ht="15" customHeight="1" x14ac:dyDescent="0.2">
      <c r="P190" s="122"/>
      <c r="Q190" s="122"/>
      <c r="R190" s="122"/>
      <c r="S190" s="122"/>
      <c r="T190" s="122"/>
      <c r="U190" s="122"/>
      <c r="V190" s="122"/>
      <c r="W190" s="122"/>
      <c r="X190" s="122"/>
      <c r="Y190" s="122"/>
      <c r="Z190" s="122"/>
      <c r="AA190" s="122"/>
      <c r="AB190" s="122"/>
      <c r="AC190" s="122"/>
      <c r="AD190" s="122"/>
      <c r="AE190" s="122"/>
      <c r="AF190" s="122"/>
      <c r="AG190" s="122"/>
      <c r="AH190" s="122"/>
      <c r="AI190" s="122"/>
      <c r="AJ190" s="122"/>
      <c r="AK190" s="122"/>
      <c r="AL190" s="122"/>
      <c r="AM190" s="122"/>
      <c r="AN190" s="122"/>
      <c r="AO190" s="122"/>
      <c r="AP190" s="122"/>
      <c r="AQ190" s="122"/>
      <c r="AR190" s="122"/>
      <c r="AS190" s="122"/>
      <c r="AT190" s="122"/>
      <c r="AU190" s="122"/>
      <c r="AV190" s="122"/>
      <c r="AW190" s="122"/>
      <c r="AX190" s="122"/>
      <c r="AY190" s="122"/>
      <c r="AZ190" s="122"/>
      <c r="BA190" s="122"/>
      <c r="BB190" s="122"/>
      <c r="BC190" s="122"/>
      <c r="BD190" s="122"/>
      <c r="BE190" s="122"/>
      <c r="BF190" s="122"/>
      <c r="BG190" s="122"/>
      <c r="BH190" s="122"/>
      <c r="BI190" s="122"/>
      <c r="BJ190" s="122"/>
      <c r="BK190" s="122"/>
      <c r="BL190" s="122"/>
      <c r="BM190" s="122"/>
      <c r="BN190" s="122"/>
      <c r="BO190" s="122"/>
      <c r="BP190" s="122"/>
      <c r="BQ190" s="122"/>
      <c r="BR190" s="122"/>
      <c r="BS190" s="122"/>
      <c r="BT190" s="122"/>
      <c r="BU190" s="122"/>
      <c r="BV190" s="122"/>
      <c r="BW190" s="122"/>
      <c r="BX190" s="122"/>
      <c r="BY190" s="122"/>
      <c r="BZ190" s="122"/>
      <c r="CA190" s="122"/>
      <c r="CB190" s="122"/>
      <c r="CC190" s="122"/>
      <c r="CD190" s="122"/>
      <c r="CE190" s="122"/>
      <c r="CF190" s="122"/>
      <c r="CG190" s="122"/>
      <c r="CH190" s="122"/>
      <c r="CI190" s="122"/>
      <c r="CJ190" s="122"/>
      <c r="CK190" s="122"/>
      <c r="CL190" s="122"/>
      <c r="CM190" s="122"/>
    </row>
    <row r="191" spans="16:91" ht="15" customHeight="1" x14ac:dyDescent="0.2">
      <c r="P191" s="122"/>
      <c r="Q191" s="122"/>
      <c r="R191" s="122"/>
      <c r="S191" s="122"/>
      <c r="T191" s="122"/>
      <c r="U191" s="122"/>
      <c r="V191" s="122"/>
      <c r="W191" s="122"/>
      <c r="X191" s="122"/>
      <c r="Y191" s="122"/>
      <c r="Z191" s="122"/>
      <c r="AA191" s="122"/>
      <c r="AB191" s="122"/>
      <c r="AC191" s="122"/>
      <c r="AD191" s="122"/>
      <c r="AE191" s="122"/>
      <c r="AF191" s="122"/>
      <c r="AG191" s="122"/>
      <c r="AH191" s="122"/>
      <c r="AI191" s="122"/>
      <c r="AJ191" s="122"/>
      <c r="AK191" s="122"/>
      <c r="AL191" s="122"/>
      <c r="AM191" s="122"/>
      <c r="AN191" s="122"/>
      <c r="AO191" s="122"/>
      <c r="AP191" s="122"/>
      <c r="AQ191" s="122"/>
      <c r="AR191" s="122"/>
      <c r="AS191" s="122"/>
      <c r="AT191" s="122"/>
      <c r="AU191" s="122"/>
      <c r="AV191" s="122"/>
      <c r="AW191" s="122"/>
      <c r="AX191" s="122"/>
      <c r="AY191" s="122"/>
      <c r="AZ191" s="122"/>
      <c r="BA191" s="122"/>
      <c r="BB191" s="122"/>
      <c r="BC191" s="122"/>
      <c r="BD191" s="122"/>
      <c r="BE191" s="122"/>
      <c r="BF191" s="122"/>
      <c r="BG191" s="122"/>
      <c r="BH191" s="122"/>
      <c r="BI191" s="122"/>
      <c r="BJ191" s="122"/>
      <c r="BK191" s="122"/>
      <c r="BL191" s="122"/>
      <c r="BM191" s="122"/>
      <c r="BN191" s="122"/>
      <c r="BO191" s="122"/>
      <c r="BP191" s="122"/>
      <c r="BQ191" s="122"/>
      <c r="BR191" s="122"/>
      <c r="BS191" s="122"/>
      <c r="BT191" s="122"/>
      <c r="BU191" s="122"/>
      <c r="BV191" s="122"/>
      <c r="BW191" s="122"/>
      <c r="BX191" s="122"/>
      <c r="BY191" s="122"/>
      <c r="BZ191" s="122"/>
      <c r="CA191" s="122"/>
      <c r="CB191" s="122"/>
      <c r="CC191" s="122"/>
      <c r="CD191" s="122"/>
      <c r="CE191" s="122"/>
      <c r="CF191" s="122"/>
      <c r="CG191" s="122"/>
      <c r="CH191" s="122"/>
      <c r="CI191" s="122"/>
      <c r="CJ191" s="122"/>
      <c r="CK191" s="122"/>
      <c r="CL191" s="122"/>
      <c r="CM191" s="122"/>
    </row>
    <row r="192" spans="16:91" ht="15" customHeight="1" x14ac:dyDescent="0.2">
      <c r="P192" s="122"/>
      <c r="Q192" s="122"/>
      <c r="R192" s="122"/>
      <c r="S192" s="122"/>
      <c r="T192" s="122"/>
      <c r="U192" s="122"/>
      <c r="V192" s="122"/>
      <c r="W192" s="122"/>
      <c r="X192" s="122"/>
      <c r="Y192" s="122"/>
      <c r="Z192" s="122"/>
      <c r="AA192" s="122"/>
      <c r="AB192" s="122"/>
      <c r="AC192" s="122"/>
      <c r="AD192" s="122"/>
      <c r="AE192" s="122"/>
      <c r="AF192" s="122"/>
      <c r="AG192" s="122"/>
      <c r="AH192" s="122"/>
      <c r="AI192" s="122"/>
      <c r="AJ192" s="122"/>
      <c r="AK192" s="122"/>
      <c r="AL192" s="122"/>
      <c r="AM192" s="122"/>
      <c r="AN192" s="122"/>
      <c r="AO192" s="122"/>
      <c r="AP192" s="122"/>
      <c r="AQ192" s="122"/>
      <c r="AR192" s="122"/>
      <c r="AS192" s="122"/>
      <c r="AT192" s="122"/>
      <c r="AU192" s="122"/>
      <c r="AV192" s="122"/>
      <c r="AW192" s="122"/>
      <c r="AX192" s="122"/>
      <c r="AY192" s="122"/>
      <c r="AZ192" s="122"/>
      <c r="BA192" s="122"/>
      <c r="BB192" s="122"/>
      <c r="BC192" s="122"/>
      <c r="BD192" s="122"/>
      <c r="BE192" s="122"/>
      <c r="BF192" s="122"/>
      <c r="BG192" s="122"/>
      <c r="BH192" s="122"/>
      <c r="BI192" s="122"/>
      <c r="BJ192" s="122"/>
      <c r="BK192" s="122"/>
      <c r="BL192" s="122"/>
      <c r="BM192" s="122"/>
      <c r="BN192" s="122"/>
      <c r="BO192" s="122"/>
      <c r="BP192" s="122"/>
      <c r="BQ192" s="122"/>
      <c r="BR192" s="122"/>
      <c r="BS192" s="122"/>
      <c r="BT192" s="122"/>
      <c r="BU192" s="122"/>
      <c r="BV192" s="122"/>
      <c r="BW192" s="122"/>
      <c r="BX192" s="122"/>
      <c r="BY192" s="122"/>
      <c r="BZ192" s="122"/>
      <c r="CA192" s="122"/>
      <c r="CB192" s="122"/>
      <c r="CC192" s="122"/>
      <c r="CD192" s="122"/>
      <c r="CE192" s="122"/>
      <c r="CF192" s="122"/>
      <c r="CG192" s="122"/>
      <c r="CH192" s="122"/>
      <c r="CI192" s="122"/>
      <c r="CJ192" s="122"/>
      <c r="CK192" s="122"/>
      <c r="CL192" s="122"/>
      <c r="CM192" s="122"/>
    </row>
    <row r="193" spans="16:91" ht="15" customHeight="1" x14ac:dyDescent="0.2">
      <c r="P193" s="122"/>
      <c r="Q193" s="122"/>
      <c r="R193" s="122"/>
      <c r="S193" s="122"/>
      <c r="T193" s="122"/>
      <c r="U193" s="122"/>
      <c r="V193" s="122"/>
      <c r="W193" s="122"/>
      <c r="X193" s="122"/>
      <c r="Y193" s="122"/>
      <c r="Z193" s="122"/>
      <c r="AA193" s="122"/>
      <c r="AB193" s="122"/>
      <c r="AC193" s="122"/>
      <c r="AD193" s="122"/>
      <c r="AE193" s="122"/>
      <c r="AF193" s="122"/>
      <c r="AG193" s="122"/>
      <c r="AH193" s="122"/>
      <c r="AI193" s="122"/>
      <c r="AJ193" s="122"/>
      <c r="AK193" s="122"/>
      <c r="AL193" s="122"/>
      <c r="AM193" s="122"/>
      <c r="AN193" s="122"/>
      <c r="AO193" s="122"/>
      <c r="AP193" s="122"/>
      <c r="AQ193" s="122"/>
      <c r="AR193" s="122"/>
      <c r="AS193" s="122"/>
      <c r="AT193" s="122"/>
      <c r="AU193" s="122"/>
      <c r="AV193" s="122"/>
      <c r="AW193" s="122"/>
      <c r="AX193" s="122"/>
      <c r="AY193" s="122"/>
      <c r="AZ193" s="122"/>
      <c r="BA193" s="122"/>
      <c r="BB193" s="122"/>
      <c r="BC193" s="122"/>
      <c r="BD193" s="122"/>
      <c r="BE193" s="122"/>
      <c r="BF193" s="122"/>
      <c r="BG193" s="122"/>
      <c r="BH193" s="122"/>
      <c r="BI193" s="122"/>
      <c r="BJ193" s="122"/>
      <c r="BK193" s="122"/>
      <c r="BL193" s="122"/>
      <c r="BM193" s="122"/>
      <c r="BN193" s="122"/>
      <c r="BO193" s="122"/>
      <c r="BP193" s="122"/>
      <c r="BQ193" s="122"/>
      <c r="BR193" s="122"/>
      <c r="BS193" s="122"/>
      <c r="BT193" s="122"/>
      <c r="BU193" s="122"/>
      <c r="BV193" s="122"/>
      <c r="BW193" s="122"/>
      <c r="BX193" s="122"/>
      <c r="BY193" s="122"/>
      <c r="BZ193" s="122"/>
      <c r="CA193" s="122"/>
      <c r="CB193" s="122"/>
      <c r="CC193" s="122"/>
      <c r="CD193" s="122"/>
      <c r="CE193" s="122"/>
      <c r="CF193" s="122"/>
      <c r="CG193" s="122"/>
      <c r="CH193" s="122"/>
      <c r="CI193" s="122"/>
      <c r="CJ193" s="122"/>
      <c r="CK193" s="122"/>
      <c r="CL193" s="122"/>
      <c r="CM193" s="122"/>
    </row>
    <row r="194" spans="16:91" ht="15" customHeight="1" x14ac:dyDescent="0.2">
      <c r="P194" s="122"/>
      <c r="Q194" s="122"/>
      <c r="R194" s="122"/>
      <c r="S194" s="122"/>
      <c r="T194" s="122"/>
      <c r="U194" s="122"/>
      <c r="V194" s="122"/>
      <c r="W194" s="122"/>
      <c r="X194" s="122"/>
      <c r="Y194" s="122"/>
      <c r="Z194" s="122"/>
      <c r="AA194" s="122"/>
      <c r="AB194" s="122"/>
      <c r="AC194" s="122"/>
      <c r="AD194" s="122"/>
      <c r="AE194" s="122"/>
      <c r="AF194" s="122"/>
      <c r="AG194" s="122"/>
      <c r="AH194" s="122"/>
      <c r="AI194" s="122"/>
      <c r="AJ194" s="122"/>
      <c r="AK194" s="122"/>
      <c r="AL194" s="122"/>
      <c r="AM194" s="122"/>
      <c r="AN194" s="122"/>
      <c r="AO194" s="122"/>
      <c r="AP194" s="122"/>
      <c r="AQ194" s="122"/>
      <c r="AR194" s="122"/>
      <c r="AS194" s="122"/>
      <c r="AT194" s="122"/>
      <c r="AU194" s="122"/>
      <c r="AV194" s="122"/>
      <c r="AW194" s="122"/>
      <c r="AX194" s="122"/>
      <c r="AY194" s="122"/>
      <c r="AZ194" s="122"/>
      <c r="BA194" s="122"/>
      <c r="BB194" s="122"/>
      <c r="BC194" s="122"/>
      <c r="BD194" s="122"/>
      <c r="BE194" s="122"/>
      <c r="BF194" s="122"/>
      <c r="BG194" s="122"/>
      <c r="BH194" s="122"/>
      <c r="BI194" s="122"/>
      <c r="BJ194" s="122"/>
      <c r="BK194" s="122"/>
      <c r="BL194" s="122"/>
      <c r="BM194" s="122"/>
      <c r="BN194" s="122"/>
      <c r="BO194" s="122"/>
      <c r="BP194" s="122"/>
      <c r="BQ194" s="122"/>
      <c r="BR194" s="122"/>
      <c r="BS194" s="122"/>
      <c r="BT194" s="122"/>
      <c r="BU194" s="122"/>
      <c r="BV194" s="122"/>
      <c r="BW194" s="122"/>
      <c r="BX194" s="122"/>
      <c r="BY194" s="122"/>
      <c r="BZ194" s="122"/>
      <c r="CA194" s="122"/>
      <c r="CB194" s="122"/>
      <c r="CC194" s="122"/>
      <c r="CD194" s="122"/>
      <c r="CE194" s="122"/>
      <c r="CF194" s="122"/>
      <c r="CG194" s="122"/>
      <c r="CH194" s="122"/>
      <c r="CI194" s="122"/>
      <c r="CJ194" s="122"/>
      <c r="CK194" s="122"/>
      <c r="CL194" s="122"/>
      <c r="CM194" s="122"/>
    </row>
    <row r="195" spans="16:91" ht="15" customHeight="1" x14ac:dyDescent="0.2">
      <c r="P195" s="122"/>
      <c r="Q195" s="122"/>
      <c r="R195" s="122"/>
      <c r="S195" s="122"/>
      <c r="T195" s="122"/>
      <c r="U195" s="122"/>
      <c r="V195" s="122"/>
      <c r="W195" s="122"/>
      <c r="X195" s="122"/>
      <c r="Y195" s="122"/>
      <c r="Z195" s="122"/>
      <c r="AA195" s="122"/>
      <c r="AB195" s="122"/>
      <c r="AC195" s="122"/>
      <c r="AD195" s="122"/>
      <c r="AE195" s="122"/>
      <c r="AF195" s="122"/>
      <c r="AG195" s="122"/>
      <c r="AH195" s="122"/>
      <c r="AI195" s="122"/>
      <c r="AJ195" s="122"/>
      <c r="AK195" s="122"/>
      <c r="AL195" s="122"/>
      <c r="AM195" s="122"/>
      <c r="AN195" s="122"/>
      <c r="AO195" s="122"/>
      <c r="AP195" s="122"/>
      <c r="AQ195" s="122"/>
      <c r="AR195" s="122"/>
      <c r="AS195" s="122"/>
      <c r="AT195" s="122"/>
      <c r="AU195" s="122"/>
      <c r="AV195" s="122"/>
      <c r="AW195" s="122"/>
      <c r="AX195" s="122"/>
      <c r="AY195" s="122"/>
      <c r="AZ195" s="122"/>
      <c r="BA195" s="122"/>
      <c r="BB195" s="122"/>
      <c r="BC195" s="122"/>
      <c r="BD195" s="122"/>
      <c r="BE195" s="122"/>
      <c r="BF195" s="122"/>
      <c r="BG195" s="122"/>
      <c r="BH195" s="122"/>
      <c r="BI195" s="122"/>
      <c r="BJ195" s="122"/>
      <c r="BK195" s="122"/>
      <c r="BL195" s="122"/>
      <c r="BM195" s="122"/>
      <c r="BN195" s="122"/>
      <c r="BO195" s="122"/>
      <c r="BP195" s="122"/>
      <c r="BQ195" s="122"/>
      <c r="BR195" s="122"/>
      <c r="BS195" s="122"/>
      <c r="BT195" s="122"/>
      <c r="BU195" s="122"/>
      <c r="BV195" s="122"/>
      <c r="BW195" s="122"/>
      <c r="BX195" s="122"/>
      <c r="BY195" s="122"/>
      <c r="BZ195" s="122"/>
      <c r="CA195" s="122"/>
      <c r="CB195" s="122"/>
      <c r="CC195" s="122"/>
      <c r="CD195" s="122"/>
      <c r="CE195" s="122"/>
      <c r="CF195" s="122"/>
      <c r="CG195" s="122"/>
      <c r="CH195" s="122"/>
      <c r="CI195" s="122"/>
      <c r="CJ195" s="122"/>
      <c r="CK195" s="122"/>
      <c r="CL195" s="122"/>
      <c r="CM195" s="122"/>
    </row>
    <row r="196" spans="16:91" ht="15" customHeight="1" x14ac:dyDescent="0.2">
      <c r="P196" s="122"/>
      <c r="Q196" s="122"/>
      <c r="R196" s="122"/>
      <c r="S196" s="122"/>
      <c r="T196" s="122"/>
      <c r="U196" s="122"/>
      <c r="V196" s="122"/>
      <c r="W196" s="122"/>
      <c r="X196" s="122"/>
      <c r="Y196" s="122"/>
      <c r="Z196" s="122"/>
      <c r="AA196" s="122"/>
      <c r="AB196" s="122"/>
      <c r="AC196" s="122"/>
      <c r="AD196" s="122"/>
      <c r="AE196" s="122"/>
      <c r="AF196" s="122"/>
      <c r="AG196" s="122"/>
      <c r="AH196" s="122"/>
      <c r="AI196" s="122"/>
      <c r="AJ196" s="122"/>
      <c r="AK196" s="122"/>
      <c r="AL196" s="122"/>
      <c r="AM196" s="122"/>
      <c r="AN196" s="122"/>
      <c r="AO196" s="122"/>
      <c r="AP196" s="122"/>
      <c r="AQ196" s="122"/>
      <c r="AR196" s="122"/>
      <c r="AS196" s="122"/>
      <c r="AT196" s="122"/>
      <c r="AU196" s="122"/>
      <c r="AV196" s="122"/>
      <c r="AW196" s="122"/>
      <c r="AX196" s="122"/>
      <c r="AY196" s="122"/>
      <c r="AZ196" s="122"/>
      <c r="BA196" s="122"/>
      <c r="BB196" s="122"/>
      <c r="BC196" s="122"/>
      <c r="BD196" s="122"/>
      <c r="BE196" s="122"/>
      <c r="BF196" s="122"/>
      <c r="BG196" s="122"/>
      <c r="BH196" s="122"/>
      <c r="BI196" s="122"/>
      <c r="BJ196" s="122"/>
      <c r="BK196" s="122"/>
      <c r="BL196" s="122"/>
      <c r="BM196" s="122"/>
      <c r="BN196" s="122"/>
      <c r="BO196" s="122"/>
      <c r="BP196" s="122"/>
      <c r="BQ196" s="122"/>
      <c r="BR196" s="122"/>
      <c r="BS196" s="122"/>
      <c r="BT196" s="122"/>
      <c r="BU196" s="122"/>
      <c r="BV196" s="122"/>
      <c r="BW196" s="122"/>
      <c r="BX196" s="122"/>
      <c r="BY196" s="122"/>
      <c r="BZ196" s="122"/>
      <c r="CA196" s="122"/>
      <c r="CB196" s="122"/>
      <c r="CC196" s="122"/>
      <c r="CD196" s="122"/>
      <c r="CE196" s="122"/>
      <c r="CF196" s="122"/>
      <c r="CG196" s="122"/>
      <c r="CH196" s="122"/>
      <c r="CI196" s="122"/>
      <c r="CJ196" s="122"/>
      <c r="CK196" s="122"/>
      <c r="CL196" s="122"/>
      <c r="CM196" s="122"/>
    </row>
    <row r="197" spans="16:91" ht="15" customHeight="1" x14ac:dyDescent="0.2">
      <c r="P197" s="122"/>
      <c r="Q197" s="122"/>
      <c r="R197" s="122"/>
      <c r="S197" s="122"/>
      <c r="T197" s="122"/>
      <c r="U197" s="122"/>
      <c r="V197" s="122"/>
      <c r="W197" s="122"/>
      <c r="X197" s="122"/>
      <c r="Y197" s="122"/>
      <c r="Z197" s="122"/>
      <c r="AA197" s="122"/>
      <c r="AB197" s="122"/>
      <c r="AC197" s="122"/>
      <c r="AD197" s="122"/>
      <c r="AE197" s="122"/>
      <c r="AF197" s="122"/>
      <c r="AG197" s="122"/>
      <c r="AH197" s="122"/>
      <c r="AI197" s="122"/>
      <c r="AJ197" s="122"/>
      <c r="AK197" s="122"/>
      <c r="AL197" s="122"/>
      <c r="AM197" s="122"/>
      <c r="AN197" s="122"/>
      <c r="AO197" s="122"/>
      <c r="AP197" s="122"/>
      <c r="AQ197" s="122"/>
      <c r="AR197" s="122"/>
      <c r="AS197" s="122"/>
      <c r="AT197" s="122"/>
      <c r="AU197" s="122"/>
      <c r="AV197" s="122"/>
      <c r="AW197" s="122"/>
      <c r="AX197" s="122"/>
      <c r="AY197" s="122"/>
      <c r="AZ197" s="122"/>
      <c r="BA197" s="122"/>
      <c r="BB197" s="122"/>
      <c r="BC197" s="122"/>
      <c r="BD197" s="122"/>
      <c r="BE197" s="122"/>
      <c r="BF197" s="122"/>
      <c r="BG197" s="122"/>
      <c r="BH197" s="122"/>
      <c r="BI197" s="122"/>
      <c r="BJ197" s="122"/>
      <c r="BK197" s="122"/>
      <c r="BL197" s="122"/>
      <c r="BM197" s="122"/>
      <c r="BN197" s="122"/>
      <c r="BO197" s="122"/>
      <c r="BP197" s="122"/>
      <c r="BQ197" s="122"/>
      <c r="BR197" s="122"/>
      <c r="BS197" s="122"/>
      <c r="BT197" s="122"/>
      <c r="BU197" s="122"/>
      <c r="BV197" s="122"/>
      <c r="BW197" s="122"/>
      <c r="BX197" s="122"/>
      <c r="BY197" s="122"/>
      <c r="BZ197" s="122"/>
      <c r="CA197" s="122"/>
      <c r="CB197" s="122"/>
      <c r="CC197" s="122"/>
      <c r="CD197" s="122"/>
      <c r="CE197" s="122"/>
      <c r="CF197" s="122"/>
      <c r="CG197" s="122"/>
      <c r="CH197" s="122"/>
      <c r="CI197" s="122"/>
      <c r="CJ197" s="122"/>
      <c r="CK197" s="122"/>
      <c r="CL197" s="122"/>
      <c r="CM197" s="122"/>
    </row>
    <row r="198" spans="16:91" ht="15" customHeight="1" x14ac:dyDescent="0.2">
      <c r="P198" s="122"/>
      <c r="Q198" s="122"/>
      <c r="R198" s="122"/>
      <c r="S198" s="122"/>
      <c r="T198" s="122"/>
      <c r="U198" s="122"/>
      <c r="V198" s="122"/>
      <c r="W198" s="122"/>
      <c r="X198" s="122"/>
      <c r="Y198" s="122"/>
      <c r="Z198" s="122"/>
      <c r="AA198" s="122"/>
      <c r="AB198" s="122"/>
      <c r="AC198" s="122"/>
      <c r="AD198" s="122"/>
      <c r="AE198" s="122"/>
      <c r="AF198" s="122"/>
      <c r="AG198" s="122"/>
      <c r="AH198" s="122"/>
      <c r="AI198" s="122"/>
      <c r="AJ198" s="122"/>
      <c r="AK198" s="122"/>
      <c r="AL198" s="122"/>
      <c r="AM198" s="122"/>
      <c r="AN198" s="122"/>
      <c r="AO198" s="122"/>
      <c r="AP198" s="122"/>
      <c r="AQ198" s="122"/>
      <c r="AR198" s="122"/>
      <c r="AS198" s="122"/>
      <c r="AT198" s="122"/>
      <c r="AU198" s="122"/>
      <c r="AV198" s="122"/>
      <c r="AW198" s="122"/>
      <c r="AX198" s="122"/>
      <c r="AY198" s="122"/>
      <c r="AZ198" s="122"/>
      <c r="BA198" s="122"/>
      <c r="BB198" s="122"/>
      <c r="BC198" s="122"/>
      <c r="BD198" s="122"/>
      <c r="BE198" s="122"/>
      <c r="BF198" s="122"/>
      <c r="BG198" s="122"/>
      <c r="BH198" s="122"/>
      <c r="BI198" s="122"/>
      <c r="BJ198" s="122"/>
      <c r="BK198" s="122"/>
      <c r="BL198" s="122"/>
      <c r="BM198" s="122"/>
      <c r="BN198" s="122"/>
      <c r="BO198" s="122"/>
      <c r="BP198" s="122"/>
      <c r="BQ198" s="122"/>
      <c r="BR198" s="122"/>
      <c r="BS198" s="122"/>
      <c r="BT198" s="122"/>
      <c r="BU198" s="122"/>
      <c r="BV198" s="122"/>
      <c r="BW198" s="122"/>
      <c r="BX198" s="122"/>
      <c r="BY198" s="122"/>
      <c r="BZ198" s="122"/>
      <c r="CA198" s="122"/>
      <c r="CB198" s="122"/>
      <c r="CC198" s="122"/>
      <c r="CD198" s="122"/>
      <c r="CE198" s="122"/>
      <c r="CF198" s="122"/>
      <c r="CG198" s="122"/>
      <c r="CH198" s="122"/>
      <c r="CI198" s="122"/>
      <c r="CJ198" s="122"/>
      <c r="CK198" s="122"/>
      <c r="CL198" s="122"/>
      <c r="CM198" s="122"/>
    </row>
    <row r="199" spans="16:91" ht="15" customHeight="1" x14ac:dyDescent="0.2">
      <c r="P199" s="122"/>
      <c r="Q199" s="122"/>
      <c r="R199" s="122"/>
      <c r="S199" s="122"/>
      <c r="T199" s="122"/>
      <c r="U199" s="122"/>
      <c r="V199" s="122"/>
      <c r="W199" s="122"/>
      <c r="X199" s="122"/>
      <c r="Y199" s="122"/>
      <c r="Z199" s="122"/>
      <c r="AA199" s="122"/>
      <c r="AB199" s="122"/>
      <c r="AC199" s="122"/>
      <c r="AD199" s="122"/>
      <c r="AE199" s="122"/>
      <c r="AF199" s="122"/>
      <c r="AG199" s="122"/>
      <c r="AH199" s="122"/>
      <c r="AI199" s="122"/>
      <c r="AJ199" s="122"/>
      <c r="AK199" s="122"/>
      <c r="AL199" s="122"/>
      <c r="AM199" s="122"/>
      <c r="AN199" s="122"/>
      <c r="AO199" s="122"/>
      <c r="AP199" s="122"/>
      <c r="AQ199" s="122"/>
      <c r="AR199" s="122"/>
      <c r="AS199" s="122"/>
      <c r="AT199" s="122"/>
      <c r="AU199" s="122"/>
      <c r="AV199" s="122"/>
      <c r="AW199" s="122"/>
      <c r="AX199" s="122"/>
      <c r="AY199" s="122"/>
      <c r="AZ199" s="122"/>
      <c r="BA199" s="122"/>
      <c r="BB199" s="122"/>
      <c r="BC199" s="122"/>
      <c r="BD199" s="122"/>
      <c r="BE199" s="122"/>
      <c r="BF199" s="122"/>
      <c r="BG199" s="122"/>
      <c r="BH199" s="122"/>
      <c r="BI199" s="122"/>
      <c r="BJ199" s="122"/>
      <c r="BK199" s="122"/>
      <c r="BL199" s="122"/>
      <c r="BM199" s="122"/>
      <c r="BN199" s="122"/>
      <c r="BO199" s="122"/>
      <c r="BP199" s="122"/>
      <c r="BQ199" s="122"/>
      <c r="BR199" s="122"/>
      <c r="BS199" s="122"/>
      <c r="BT199" s="122"/>
      <c r="BU199" s="122"/>
      <c r="BV199" s="122"/>
      <c r="BW199" s="122"/>
      <c r="BX199" s="122"/>
      <c r="BY199" s="122"/>
      <c r="BZ199" s="122"/>
      <c r="CA199" s="122"/>
      <c r="CB199" s="122"/>
      <c r="CC199" s="122"/>
      <c r="CD199" s="122"/>
      <c r="CE199" s="122"/>
      <c r="CF199" s="122"/>
      <c r="CG199" s="122"/>
      <c r="CH199" s="122"/>
      <c r="CI199" s="122"/>
      <c r="CJ199" s="122"/>
      <c r="CK199" s="122"/>
      <c r="CL199" s="122"/>
      <c r="CM199" s="122"/>
    </row>
    <row r="200" spans="16:91" ht="15" customHeight="1" x14ac:dyDescent="0.2">
      <c r="P200" s="122"/>
      <c r="Q200" s="122"/>
      <c r="R200" s="122"/>
      <c r="S200" s="122"/>
      <c r="T200" s="122"/>
      <c r="U200" s="122"/>
      <c r="V200" s="122"/>
      <c r="W200" s="122"/>
      <c r="X200" s="122"/>
      <c r="Y200" s="122"/>
      <c r="Z200" s="122"/>
      <c r="AA200" s="122"/>
      <c r="AB200" s="122"/>
      <c r="AC200" s="122"/>
      <c r="AD200" s="122"/>
      <c r="AE200" s="122"/>
      <c r="AF200" s="122"/>
      <c r="AG200" s="122"/>
      <c r="AH200" s="122"/>
      <c r="AI200" s="122"/>
      <c r="AJ200" s="122"/>
      <c r="AK200" s="122"/>
      <c r="AL200" s="122"/>
      <c r="AM200" s="122"/>
      <c r="AN200" s="122"/>
      <c r="AO200" s="122"/>
      <c r="AP200" s="122"/>
      <c r="AQ200" s="122"/>
      <c r="AR200" s="122"/>
      <c r="AS200" s="122"/>
      <c r="AT200" s="122"/>
      <c r="AU200" s="122"/>
      <c r="AV200" s="122"/>
      <c r="AW200" s="122"/>
      <c r="AX200" s="122"/>
      <c r="AY200" s="122"/>
      <c r="AZ200" s="122"/>
      <c r="BA200" s="122"/>
      <c r="BB200" s="122"/>
      <c r="BC200" s="122"/>
      <c r="BD200" s="122"/>
      <c r="BE200" s="122"/>
      <c r="BF200" s="122"/>
      <c r="BG200" s="122"/>
      <c r="BH200" s="122"/>
      <c r="BI200" s="122"/>
      <c r="BJ200" s="122"/>
      <c r="BK200" s="122"/>
      <c r="BL200" s="122"/>
      <c r="BM200" s="122"/>
      <c r="BN200" s="122"/>
      <c r="BO200" s="122"/>
      <c r="BP200" s="122"/>
      <c r="BQ200" s="122"/>
      <c r="BR200" s="122"/>
      <c r="BS200" s="122"/>
      <c r="BT200" s="122"/>
      <c r="BU200" s="122"/>
      <c r="BV200" s="122"/>
      <c r="BW200" s="122"/>
      <c r="BX200" s="122"/>
      <c r="BY200" s="122"/>
      <c r="BZ200" s="122"/>
      <c r="CA200" s="122"/>
      <c r="CB200" s="122"/>
      <c r="CC200" s="122"/>
      <c r="CD200" s="122"/>
      <c r="CE200" s="122"/>
      <c r="CF200" s="122"/>
      <c r="CG200" s="122"/>
      <c r="CH200" s="122"/>
      <c r="CI200" s="122"/>
      <c r="CJ200" s="122"/>
      <c r="CK200" s="122"/>
      <c r="CL200" s="122"/>
      <c r="CM200" s="122"/>
    </row>
    <row r="201" spans="16:91" ht="15" customHeight="1" x14ac:dyDescent="0.2">
      <c r="P201" s="122"/>
      <c r="Q201" s="122"/>
      <c r="R201" s="122"/>
      <c r="S201" s="122"/>
      <c r="T201" s="122"/>
      <c r="U201" s="122"/>
      <c r="V201" s="122"/>
      <c r="W201" s="122"/>
      <c r="X201" s="122"/>
      <c r="Y201" s="122"/>
      <c r="Z201" s="122"/>
      <c r="AA201" s="122"/>
      <c r="AB201" s="122"/>
      <c r="AC201" s="122"/>
      <c r="AD201" s="122"/>
      <c r="AE201" s="122"/>
      <c r="AF201" s="122"/>
      <c r="AG201" s="122"/>
      <c r="AH201" s="122"/>
      <c r="AI201" s="122"/>
      <c r="AJ201" s="122"/>
      <c r="AK201" s="122"/>
      <c r="AL201" s="122"/>
      <c r="AM201" s="122"/>
      <c r="AN201" s="122"/>
      <c r="AO201" s="122"/>
      <c r="AP201" s="122"/>
      <c r="AQ201" s="122"/>
      <c r="AR201" s="122"/>
      <c r="AS201" s="122"/>
      <c r="AT201" s="122"/>
      <c r="AU201" s="122"/>
      <c r="AV201" s="122"/>
      <c r="AW201" s="122"/>
      <c r="AX201" s="122"/>
      <c r="AY201" s="122"/>
      <c r="AZ201" s="122"/>
      <c r="BA201" s="122"/>
      <c r="BB201" s="122"/>
      <c r="BC201" s="122"/>
      <c r="BD201" s="122"/>
      <c r="BE201" s="122"/>
      <c r="BF201" s="122"/>
      <c r="BG201" s="122"/>
      <c r="BH201" s="122"/>
      <c r="BI201" s="122"/>
      <c r="BJ201" s="122"/>
      <c r="BK201" s="122"/>
      <c r="BL201" s="122"/>
      <c r="BM201" s="122"/>
      <c r="BN201" s="122"/>
      <c r="BO201" s="122"/>
      <c r="BP201" s="122"/>
      <c r="BQ201" s="122"/>
      <c r="BR201" s="122"/>
      <c r="BS201" s="122"/>
      <c r="BT201" s="122"/>
      <c r="BU201" s="122"/>
      <c r="BV201" s="122"/>
      <c r="BW201" s="122"/>
      <c r="BX201" s="122"/>
      <c r="BY201" s="122"/>
      <c r="BZ201" s="122"/>
      <c r="CA201" s="122"/>
      <c r="CB201" s="122"/>
      <c r="CC201" s="122"/>
      <c r="CD201" s="122"/>
      <c r="CE201" s="122"/>
      <c r="CF201" s="122"/>
      <c r="CG201" s="122"/>
      <c r="CH201" s="122"/>
      <c r="CI201" s="122"/>
      <c r="CJ201" s="122"/>
      <c r="CK201" s="122"/>
      <c r="CL201" s="122"/>
      <c r="CM201" s="122"/>
    </row>
    <row r="202" spans="16:91" ht="15" customHeight="1" x14ac:dyDescent="0.2">
      <c r="P202" s="122"/>
      <c r="Q202" s="122"/>
      <c r="R202" s="122"/>
      <c r="S202" s="122"/>
      <c r="T202" s="122"/>
      <c r="U202" s="122"/>
      <c r="V202" s="122"/>
      <c r="W202" s="122"/>
      <c r="X202" s="122"/>
      <c r="Y202" s="122"/>
      <c r="Z202" s="122"/>
      <c r="AA202" s="122"/>
      <c r="AB202" s="122"/>
      <c r="AC202" s="122"/>
      <c r="AD202" s="122"/>
      <c r="AE202" s="122"/>
      <c r="AF202" s="122"/>
      <c r="AG202" s="122"/>
      <c r="AH202" s="122"/>
      <c r="AI202" s="122"/>
      <c r="AJ202" s="122"/>
      <c r="AK202" s="122"/>
      <c r="AL202" s="122"/>
      <c r="AM202" s="122"/>
      <c r="AN202" s="122"/>
      <c r="AO202" s="122"/>
      <c r="AP202" s="122"/>
      <c r="AQ202" s="122"/>
      <c r="AR202" s="122"/>
      <c r="AS202" s="122"/>
      <c r="AT202" s="122"/>
      <c r="AU202" s="122"/>
      <c r="AV202" s="122"/>
      <c r="AW202" s="122"/>
      <c r="AX202" s="122"/>
      <c r="AY202" s="122"/>
      <c r="AZ202" s="122"/>
      <c r="BA202" s="122"/>
      <c r="BB202" s="122"/>
      <c r="BC202" s="122"/>
      <c r="BD202" s="122"/>
      <c r="BE202" s="122"/>
      <c r="BF202" s="122"/>
      <c r="BG202" s="122"/>
      <c r="BH202" s="122"/>
      <c r="BI202" s="122"/>
      <c r="BJ202" s="122"/>
      <c r="BK202" s="122"/>
      <c r="BL202" s="122"/>
      <c r="BM202" s="122"/>
      <c r="BN202" s="122"/>
      <c r="BO202" s="122"/>
      <c r="BP202" s="122"/>
      <c r="BQ202" s="122"/>
      <c r="BR202" s="122"/>
      <c r="BS202" s="122"/>
      <c r="BT202" s="122"/>
      <c r="BU202" s="122"/>
      <c r="BV202" s="122"/>
      <c r="BW202" s="122"/>
      <c r="BX202" s="122"/>
      <c r="BY202" s="122"/>
      <c r="BZ202" s="122"/>
      <c r="CA202" s="122"/>
      <c r="CB202" s="122"/>
      <c r="CC202" s="122"/>
      <c r="CD202" s="122"/>
      <c r="CE202" s="122"/>
      <c r="CF202" s="122"/>
      <c r="CG202" s="122"/>
      <c r="CH202" s="122"/>
      <c r="CI202" s="122"/>
      <c r="CJ202" s="122"/>
      <c r="CK202" s="122"/>
      <c r="CL202" s="122"/>
      <c r="CM202" s="122"/>
    </row>
    <row r="203" spans="16:91" ht="15" customHeight="1" x14ac:dyDescent="0.2">
      <c r="P203" s="122"/>
      <c r="Q203" s="122"/>
      <c r="R203" s="122"/>
      <c r="S203" s="122"/>
      <c r="T203" s="122"/>
      <c r="U203" s="122"/>
      <c r="V203" s="122"/>
      <c r="W203" s="122"/>
      <c r="X203" s="122"/>
      <c r="Y203" s="122"/>
      <c r="Z203" s="122"/>
      <c r="AA203" s="122"/>
      <c r="AB203" s="122"/>
      <c r="AC203" s="122"/>
      <c r="AD203" s="122"/>
      <c r="AE203" s="122"/>
      <c r="AF203" s="122"/>
      <c r="AG203" s="122"/>
      <c r="AH203" s="122"/>
      <c r="AI203" s="122"/>
      <c r="AJ203" s="122"/>
      <c r="AK203" s="122"/>
      <c r="AL203" s="122"/>
      <c r="AM203" s="122"/>
      <c r="AN203" s="122"/>
      <c r="AO203" s="122"/>
      <c r="AP203" s="122"/>
      <c r="AQ203" s="122"/>
      <c r="AR203" s="122"/>
      <c r="AS203" s="122"/>
      <c r="AT203" s="122"/>
      <c r="AU203" s="122"/>
      <c r="AV203" s="122"/>
      <c r="AW203" s="122"/>
      <c r="AX203" s="122"/>
      <c r="AY203" s="122"/>
      <c r="AZ203" s="122"/>
      <c r="BA203" s="122"/>
      <c r="BB203" s="122"/>
      <c r="BC203" s="122"/>
      <c r="BD203" s="122"/>
      <c r="BE203" s="122"/>
      <c r="BF203" s="122"/>
      <c r="BG203" s="122"/>
      <c r="BH203" s="122"/>
      <c r="BI203" s="122"/>
      <c r="BJ203" s="122"/>
      <c r="BK203" s="122"/>
      <c r="BL203" s="122"/>
      <c r="BM203" s="122"/>
      <c r="BN203" s="122"/>
      <c r="BO203" s="122"/>
      <c r="BP203" s="122"/>
      <c r="BQ203" s="122"/>
      <c r="BR203" s="122"/>
      <c r="BS203" s="122"/>
      <c r="BT203" s="122"/>
      <c r="BU203" s="122"/>
      <c r="BV203" s="122"/>
      <c r="BW203" s="122"/>
      <c r="BX203" s="122"/>
      <c r="BY203" s="122"/>
      <c r="BZ203" s="122"/>
      <c r="CA203" s="122"/>
      <c r="CB203" s="122"/>
      <c r="CC203" s="122"/>
      <c r="CD203" s="122"/>
      <c r="CE203" s="122"/>
      <c r="CF203" s="122"/>
      <c r="CG203" s="122"/>
      <c r="CH203" s="122"/>
      <c r="CI203" s="122"/>
      <c r="CJ203" s="122"/>
      <c r="CK203" s="122"/>
      <c r="CL203" s="122"/>
      <c r="CM203" s="122"/>
    </row>
    <row r="204" spans="16:91" ht="15" customHeight="1" x14ac:dyDescent="0.2">
      <c r="P204" s="122"/>
      <c r="Q204" s="122"/>
      <c r="R204" s="122"/>
      <c r="S204" s="122"/>
      <c r="T204" s="122"/>
      <c r="U204" s="122"/>
      <c r="V204" s="122"/>
      <c r="W204" s="122"/>
      <c r="X204" s="122"/>
      <c r="Y204" s="122"/>
      <c r="Z204" s="122"/>
      <c r="AA204" s="122"/>
      <c r="AB204" s="122"/>
      <c r="AC204" s="122"/>
      <c r="AD204" s="122"/>
      <c r="AE204" s="122"/>
      <c r="AF204" s="122"/>
      <c r="AG204" s="122"/>
      <c r="AH204" s="122"/>
      <c r="AI204" s="122"/>
      <c r="AJ204" s="122"/>
      <c r="AK204" s="122"/>
      <c r="AL204" s="122"/>
      <c r="AM204" s="122"/>
      <c r="AN204" s="122"/>
      <c r="AO204" s="122"/>
      <c r="AP204" s="122"/>
      <c r="AQ204" s="122"/>
      <c r="AR204" s="122"/>
      <c r="AS204" s="122"/>
      <c r="AT204" s="122"/>
      <c r="AU204" s="122"/>
      <c r="AV204" s="122"/>
      <c r="AW204" s="122"/>
      <c r="AX204" s="122"/>
      <c r="AY204" s="122"/>
      <c r="AZ204" s="122"/>
      <c r="BA204" s="122"/>
      <c r="BB204" s="122"/>
      <c r="BC204" s="122"/>
      <c r="BD204" s="122"/>
      <c r="BE204" s="122"/>
      <c r="BF204" s="122"/>
      <c r="BG204" s="122"/>
      <c r="BH204" s="122"/>
      <c r="BI204" s="122"/>
      <c r="BJ204" s="122"/>
      <c r="BK204" s="122"/>
      <c r="BL204" s="122"/>
      <c r="BM204" s="122"/>
      <c r="BN204" s="122"/>
      <c r="BO204" s="122"/>
      <c r="BP204" s="122"/>
      <c r="BQ204" s="122"/>
      <c r="BR204" s="122"/>
      <c r="BS204" s="122"/>
      <c r="BT204" s="122"/>
      <c r="BU204" s="122"/>
      <c r="BV204" s="122"/>
      <c r="BW204" s="122"/>
      <c r="BX204" s="122"/>
      <c r="BY204" s="122"/>
      <c r="BZ204" s="122"/>
      <c r="CA204" s="122"/>
      <c r="CB204" s="122"/>
      <c r="CC204" s="122"/>
      <c r="CD204" s="122"/>
      <c r="CE204" s="122"/>
      <c r="CF204" s="122"/>
      <c r="CG204" s="122"/>
      <c r="CH204" s="122"/>
      <c r="CI204" s="122"/>
      <c r="CJ204" s="122"/>
      <c r="CK204" s="122"/>
      <c r="CL204" s="122"/>
      <c r="CM204" s="122"/>
    </row>
    <row r="205" spans="16:91" ht="15" customHeight="1" x14ac:dyDescent="0.2">
      <c r="P205" s="122"/>
      <c r="Q205" s="122"/>
      <c r="R205" s="122"/>
      <c r="S205" s="122"/>
      <c r="T205" s="122"/>
      <c r="U205" s="122"/>
      <c r="V205" s="122"/>
      <c r="W205" s="122"/>
      <c r="X205" s="122"/>
      <c r="Y205" s="122"/>
      <c r="Z205" s="122"/>
      <c r="AA205" s="122"/>
      <c r="AB205" s="122"/>
      <c r="AC205" s="122"/>
      <c r="AD205" s="122"/>
      <c r="AE205" s="122"/>
      <c r="AF205" s="122"/>
      <c r="AG205" s="122"/>
      <c r="AH205" s="122"/>
      <c r="AI205" s="122"/>
      <c r="AJ205" s="122"/>
      <c r="AK205" s="122"/>
      <c r="AL205" s="122"/>
      <c r="AM205" s="122"/>
      <c r="AN205" s="122"/>
      <c r="AO205" s="122"/>
      <c r="AP205" s="122"/>
      <c r="AQ205" s="122"/>
      <c r="AR205" s="122"/>
      <c r="AS205" s="122"/>
      <c r="AT205" s="122"/>
      <c r="AU205" s="122"/>
      <c r="AV205" s="122"/>
      <c r="AW205" s="122"/>
      <c r="AX205" s="122"/>
      <c r="AY205" s="122"/>
      <c r="AZ205" s="122"/>
      <c r="BA205" s="122"/>
      <c r="BB205" s="122"/>
      <c r="BC205" s="122"/>
      <c r="BD205" s="122"/>
      <c r="BE205" s="122"/>
      <c r="BF205" s="122"/>
      <c r="BG205" s="122"/>
      <c r="BH205" s="122"/>
      <c r="BI205" s="122"/>
      <c r="BJ205" s="122"/>
      <c r="BK205" s="122"/>
      <c r="BL205" s="122"/>
      <c r="BM205" s="122"/>
      <c r="BN205" s="122"/>
      <c r="BO205" s="122"/>
      <c r="BP205" s="122"/>
      <c r="BQ205" s="122"/>
      <c r="BR205" s="122"/>
      <c r="BS205" s="122"/>
      <c r="BT205" s="122"/>
      <c r="BU205" s="122"/>
      <c r="BV205" s="122"/>
      <c r="BW205" s="122"/>
      <c r="BX205" s="122"/>
      <c r="BY205" s="122"/>
      <c r="BZ205" s="122"/>
      <c r="CA205" s="122"/>
      <c r="CB205" s="122"/>
      <c r="CC205" s="122"/>
      <c r="CD205" s="122"/>
      <c r="CE205" s="122"/>
      <c r="CF205" s="122"/>
      <c r="CG205" s="122"/>
      <c r="CH205" s="122"/>
      <c r="CI205" s="122"/>
      <c r="CJ205" s="122"/>
      <c r="CK205" s="122"/>
      <c r="CL205" s="122"/>
      <c r="CM205" s="122"/>
    </row>
    <row r="206" spans="16:91" ht="15" customHeight="1" x14ac:dyDescent="0.2">
      <c r="P206" s="122"/>
      <c r="Q206" s="122"/>
      <c r="R206" s="122"/>
      <c r="S206" s="122"/>
      <c r="T206" s="122"/>
      <c r="U206" s="122"/>
      <c r="V206" s="122"/>
      <c r="W206" s="122"/>
      <c r="X206" s="122"/>
      <c r="Y206" s="122"/>
      <c r="Z206" s="122"/>
      <c r="AA206" s="122"/>
      <c r="AB206" s="122"/>
      <c r="AC206" s="122"/>
      <c r="AD206" s="122"/>
      <c r="AE206" s="122"/>
      <c r="AF206" s="122"/>
      <c r="AG206" s="122"/>
      <c r="AH206" s="122"/>
      <c r="AI206" s="122"/>
      <c r="AJ206" s="122"/>
      <c r="AK206" s="122"/>
      <c r="AL206" s="122"/>
      <c r="AM206" s="122"/>
      <c r="AN206" s="122"/>
      <c r="AO206" s="122"/>
      <c r="AP206" s="122"/>
      <c r="AQ206" s="122"/>
      <c r="AR206" s="122"/>
      <c r="AS206" s="122"/>
      <c r="AT206" s="122"/>
      <c r="AU206" s="122"/>
      <c r="AV206" s="122"/>
      <c r="AW206" s="122"/>
      <c r="AX206" s="122"/>
      <c r="AY206" s="122"/>
      <c r="AZ206" s="122"/>
      <c r="BA206" s="122"/>
      <c r="BB206" s="122"/>
      <c r="BC206" s="122"/>
      <c r="BD206" s="122"/>
      <c r="BE206" s="122"/>
      <c r="BF206" s="122"/>
      <c r="BG206" s="122"/>
      <c r="BH206" s="122"/>
      <c r="BI206" s="122"/>
      <c r="BJ206" s="122"/>
      <c r="BK206" s="122"/>
      <c r="BL206" s="122"/>
      <c r="BM206" s="122"/>
      <c r="BN206" s="122"/>
      <c r="BO206" s="122"/>
      <c r="BP206" s="122"/>
      <c r="BQ206" s="122"/>
      <c r="BR206" s="122"/>
      <c r="BS206" s="122"/>
      <c r="BT206" s="122"/>
      <c r="BU206" s="122"/>
      <c r="BV206" s="122"/>
      <c r="BW206" s="122"/>
      <c r="BX206" s="122"/>
      <c r="BY206" s="122"/>
      <c r="BZ206" s="122"/>
      <c r="CA206" s="122"/>
      <c r="CB206" s="122"/>
      <c r="CC206" s="122"/>
      <c r="CD206" s="122"/>
      <c r="CE206" s="122"/>
      <c r="CF206" s="122"/>
      <c r="CG206" s="122"/>
      <c r="CH206" s="122"/>
      <c r="CI206" s="122"/>
      <c r="CJ206" s="122"/>
      <c r="CK206" s="122"/>
      <c r="CL206" s="122"/>
      <c r="CM206" s="122"/>
    </row>
    <row r="207" spans="16:91" ht="15" customHeight="1" x14ac:dyDescent="0.2">
      <c r="P207" s="122"/>
      <c r="Q207" s="122"/>
      <c r="R207" s="122"/>
      <c r="S207" s="122"/>
      <c r="T207" s="122"/>
      <c r="U207" s="122"/>
      <c r="V207" s="122"/>
      <c r="W207" s="122"/>
      <c r="X207" s="122"/>
      <c r="Y207" s="122"/>
      <c r="Z207" s="122"/>
      <c r="AA207" s="122"/>
      <c r="AB207" s="122"/>
      <c r="AC207" s="122"/>
      <c r="AD207" s="122"/>
      <c r="AE207" s="122"/>
      <c r="AF207" s="122"/>
      <c r="AG207" s="122"/>
      <c r="AH207" s="122"/>
      <c r="AI207" s="122"/>
      <c r="AJ207" s="122"/>
      <c r="AK207" s="122"/>
      <c r="AL207" s="122"/>
      <c r="AM207" s="122"/>
      <c r="AN207" s="122"/>
      <c r="AO207" s="122"/>
      <c r="AP207" s="122"/>
      <c r="AQ207" s="122"/>
      <c r="AR207" s="122"/>
      <c r="AS207" s="122"/>
      <c r="AT207" s="122"/>
      <c r="AU207" s="122"/>
      <c r="AV207" s="122"/>
      <c r="AW207" s="122"/>
      <c r="AX207" s="122"/>
      <c r="AY207" s="122"/>
      <c r="AZ207" s="122"/>
      <c r="BA207" s="122"/>
      <c r="BB207" s="122"/>
      <c r="BC207" s="122"/>
      <c r="BD207" s="122"/>
      <c r="BE207" s="122"/>
      <c r="BF207" s="122"/>
      <c r="BG207" s="122"/>
      <c r="BH207" s="122"/>
      <c r="BI207" s="122"/>
      <c r="BJ207" s="122"/>
      <c r="BK207" s="122"/>
      <c r="BL207" s="122"/>
      <c r="BM207" s="122"/>
      <c r="BN207" s="122"/>
      <c r="BO207" s="122"/>
      <c r="BP207" s="122"/>
      <c r="BQ207" s="122"/>
      <c r="BR207" s="122"/>
      <c r="BS207" s="122"/>
      <c r="BT207" s="122"/>
      <c r="BU207" s="122"/>
      <c r="BV207" s="122"/>
      <c r="BW207" s="122"/>
      <c r="BX207" s="122"/>
      <c r="BY207" s="122"/>
      <c r="BZ207" s="122"/>
      <c r="CA207" s="122"/>
      <c r="CB207" s="122"/>
      <c r="CC207" s="122"/>
      <c r="CD207" s="122"/>
      <c r="CE207" s="122"/>
      <c r="CF207" s="122"/>
      <c r="CG207" s="122"/>
      <c r="CH207" s="122"/>
      <c r="CI207" s="122"/>
      <c r="CJ207" s="122"/>
      <c r="CK207" s="122"/>
      <c r="CL207" s="122"/>
      <c r="CM207" s="122"/>
    </row>
    <row r="208" spans="16:91" ht="15" customHeight="1" x14ac:dyDescent="0.2"/>
    <row r="209" spans="64:64" ht="15.75" customHeight="1" x14ac:dyDescent="0.2">
      <c r="BL209" s="124"/>
    </row>
    <row r="210" spans="64:64" ht="15.75" customHeight="1" x14ac:dyDescent="0.2">
      <c r="BL210" s="124"/>
    </row>
    <row r="211" spans="64:64" x14ac:dyDescent="0.2">
      <c r="BL211" s="124"/>
    </row>
  </sheetData>
  <mergeCells count="48">
    <mergeCell ref="L3:M3"/>
    <mergeCell ref="A1:U1"/>
    <mergeCell ref="BC3:BD3"/>
    <mergeCell ref="AY3:AZ3"/>
    <mergeCell ref="BE3:BF3"/>
    <mergeCell ref="BI3:BJ3"/>
    <mergeCell ref="AK3:AL3"/>
    <mergeCell ref="BG3:BH3"/>
    <mergeCell ref="BA3:BB3"/>
    <mergeCell ref="A3:A4"/>
    <mergeCell ref="B3:C3"/>
    <mergeCell ref="Y3:Z3"/>
    <mergeCell ref="AC3:AD3"/>
    <mergeCell ref="AE3:AF3"/>
    <mergeCell ref="AI3:AJ3"/>
    <mergeCell ref="AA3:AB3"/>
    <mergeCell ref="AO3:AP3"/>
    <mergeCell ref="P3:Q3"/>
    <mergeCell ref="BS3:BT3"/>
    <mergeCell ref="AQ3:AR3"/>
    <mergeCell ref="AS3:AT3"/>
    <mergeCell ref="AU3:AV3"/>
    <mergeCell ref="W3:X3"/>
    <mergeCell ref="AM3:AN3"/>
    <mergeCell ref="BQ3:BR3"/>
    <mergeCell ref="CG3:CH3"/>
    <mergeCell ref="BW3:BX3"/>
    <mergeCell ref="AW3:AX3"/>
    <mergeCell ref="N3:O3"/>
    <mergeCell ref="CK3:CL3"/>
    <mergeCell ref="BY3:BZ3"/>
    <mergeCell ref="CA3:CB3"/>
    <mergeCell ref="A36:A37"/>
    <mergeCell ref="A38:A39"/>
    <mergeCell ref="D3:E3"/>
    <mergeCell ref="F3:G3"/>
    <mergeCell ref="H3:I3"/>
    <mergeCell ref="J3:K3"/>
    <mergeCell ref="CI3:CJ3"/>
    <mergeCell ref="BU3:BV3"/>
    <mergeCell ref="CC3:CD3"/>
    <mergeCell ref="CE3:CF3"/>
    <mergeCell ref="R3:S3"/>
    <mergeCell ref="T3:U3"/>
    <mergeCell ref="BM3:BN3"/>
    <mergeCell ref="BO3:BP3"/>
    <mergeCell ref="BK3:BL3"/>
    <mergeCell ref="AG3:AH3"/>
  </mergeCells>
  <phoneticPr fontId="0" type="noConversion"/>
  <printOptions horizontalCentered="1" verticalCentered="1"/>
  <pageMargins left="0.39370078740157483" right="0.39370078740157483" top="0" bottom="0" header="0" footer="0"/>
  <pageSetup paperSize="45"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A1:GP265"/>
  <sheetViews>
    <sheetView zoomScaleNormal="100" workbookViewId="0">
      <selection sqref="A1:U1"/>
    </sheetView>
  </sheetViews>
  <sheetFormatPr baseColWidth="10" defaultColWidth="11.42578125" defaultRowHeight="12" x14ac:dyDescent="0.2"/>
  <cols>
    <col min="1" max="1" width="41.42578125" style="2" customWidth="1"/>
    <col min="2" max="21" width="18.42578125" style="2" customWidth="1"/>
    <col min="22" max="22" width="18.42578125" style="17" customWidth="1"/>
    <col min="23" max="198" width="11.42578125" style="17"/>
    <col min="199" max="16384" width="11.42578125" style="2"/>
  </cols>
  <sheetData>
    <row r="1" spans="1:198" ht="19.5" customHeight="1" x14ac:dyDescent="0.2">
      <c r="A1" s="237" t="s">
        <v>106</v>
      </c>
      <c r="B1" s="238"/>
      <c r="C1" s="238"/>
      <c r="D1" s="238"/>
      <c r="E1" s="238"/>
      <c r="F1" s="238"/>
      <c r="G1" s="238"/>
      <c r="H1" s="238"/>
      <c r="I1" s="238"/>
      <c r="J1" s="238"/>
      <c r="K1" s="238"/>
      <c r="L1" s="238"/>
      <c r="M1" s="238"/>
      <c r="N1" s="238"/>
      <c r="O1" s="238"/>
      <c r="P1" s="238"/>
      <c r="Q1" s="238"/>
      <c r="R1" s="238"/>
      <c r="S1" s="238"/>
      <c r="T1" s="238"/>
      <c r="U1" s="239"/>
    </row>
    <row r="2" spans="1:198" s="17" customFormat="1" ht="23.45" customHeight="1" x14ac:dyDescent="0.2">
      <c r="A2" s="168"/>
    </row>
    <row r="3" spans="1:198" ht="33" customHeight="1" x14ac:dyDescent="0.2">
      <c r="A3" s="236" t="s">
        <v>36</v>
      </c>
      <c r="B3" s="227" t="s">
        <v>93</v>
      </c>
      <c r="C3" s="227"/>
      <c r="D3" s="227" t="s">
        <v>107</v>
      </c>
      <c r="E3" s="227"/>
      <c r="F3" s="228" t="s">
        <v>95</v>
      </c>
      <c r="G3" s="228"/>
      <c r="H3" s="227" t="s">
        <v>96</v>
      </c>
      <c r="I3" s="227"/>
      <c r="J3" s="227" t="s">
        <v>97</v>
      </c>
      <c r="K3" s="227"/>
      <c r="L3" s="227" t="s">
        <v>108</v>
      </c>
      <c r="M3" s="227"/>
      <c r="N3" s="227" t="s">
        <v>99</v>
      </c>
      <c r="O3" s="227"/>
      <c r="P3" s="249" t="s">
        <v>100</v>
      </c>
      <c r="Q3" s="250"/>
      <c r="R3" s="249" t="s">
        <v>101</v>
      </c>
      <c r="S3" s="250"/>
      <c r="T3" s="249" t="s">
        <v>102</v>
      </c>
      <c r="U3" s="250"/>
    </row>
    <row r="4" spans="1:198" ht="18" customHeight="1" x14ac:dyDescent="0.2">
      <c r="A4" s="246"/>
      <c r="B4" s="62">
        <v>2022</v>
      </c>
      <c r="C4" s="62">
        <v>2023</v>
      </c>
      <c r="D4" s="62">
        <v>2022</v>
      </c>
      <c r="E4" s="62">
        <v>2023</v>
      </c>
      <c r="F4" s="62">
        <v>2022</v>
      </c>
      <c r="G4" s="62">
        <v>2023</v>
      </c>
      <c r="H4" s="62">
        <v>2022</v>
      </c>
      <c r="I4" s="62">
        <v>2023</v>
      </c>
      <c r="J4" s="62">
        <v>2022</v>
      </c>
      <c r="K4" s="62">
        <v>2023</v>
      </c>
      <c r="L4" s="62">
        <v>2022</v>
      </c>
      <c r="M4" s="62">
        <v>2023</v>
      </c>
      <c r="N4" s="62">
        <v>2022</v>
      </c>
      <c r="O4" s="62">
        <v>2023</v>
      </c>
      <c r="P4" s="62">
        <v>2022</v>
      </c>
      <c r="Q4" s="62">
        <v>2023</v>
      </c>
      <c r="R4" s="62">
        <v>2022</v>
      </c>
      <c r="S4" s="62">
        <v>2023</v>
      </c>
      <c r="T4" s="62">
        <v>2022</v>
      </c>
      <c r="U4" s="62">
        <v>2023</v>
      </c>
    </row>
    <row r="5" spans="1:198" s="31" customFormat="1" ht="19.5" customHeight="1" x14ac:dyDescent="0.2">
      <c r="A5" s="64" t="s">
        <v>71</v>
      </c>
      <c r="B5" s="91"/>
      <c r="C5" s="91"/>
      <c r="D5" s="91"/>
      <c r="E5" s="91"/>
      <c r="F5" s="91"/>
      <c r="G5" s="91"/>
      <c r="H5" s="91"/>
      <c r="I5" s="91"/>
      <c r="J5" s="91"/>
      <c r="K5" s="91"/>
      <c r="L5" s="91"/>
      <c r="M5" s="91"/>
      <c r="N5" s="91"/>
      <c r="O5" s="91"/>
      <c r="P5" s="91"/>
      <c r="Q5" s="91"/>
      <c r="R5" s="91"/>
      <c r="S5" s="91"/>
      <c r="T5" s="91"/>
      <c r="U5" s="9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row>
    <row r="6" spans="1:198" s="31" customFormat="1" ht="19.5" customHeight="1" x14ac:dyDescent="0.2">
      <c r="A6" s="103" t="s">
        <v>72</v>
      </c>
      <c r="B6" s="92">
        <f>IFERROR('4'!B7/'4'!B11,0)</f>
        <v>0.46226361356779377</v>
      </c>
      <c r="C6" s="92">
        <f>IFERROR('4'!C7/'4'!C11,0)</f>
        <v>0.48735034629471297</v>
      </c>
      <c r="D6" s="92">
        <f>IFERROR('4'!D7/'4'!D11,0)</f>
        <v>0.59349750930825196</v>
      </c>
      <c r="E6" s="92">
        <f>IFERROR('4'!E7/'4'!E11,0)</f>
        <v>0.62910649069723612</v>
      </c>
      <c r="F6" s="92">
        <f>IFERROR('4'!F7/'4'!F11,0)</f>
        <v>0.64930433972117729</v>
      </c>
      <c r="G6" s="92">
        <f>IFERROR('4'!G7/'4'!G11,0)</f>
        <v>0.99150712128888763</v>
      </c>
      <c r="H6" s="92">
        <f>IFERROR('4'!H7/'4'!H11,0)</f>
        <v>0.40397683581162924</v>
      </c>
      <c r="I6" s="92">
        <f>IFERROR('4'!I7/'4'!I11,0)</f>
        <v>0.41770094607412972</v>
      </c>
      <c r="J6" s="92">
        <f>IFERROR('4'!J7/'4'!J11,0)</f>
        <v>0.53442628755750354</v>
      </c>
      <c r="K6" s="92">
        <f>IFERROR('4'!K7/'4'!K11,0)</f>
        <v>0.50881289772222016</v>
      </c>
      <c r="L6" s="92">
        <f>IFERROR('4'!L7/'4'!L11,0)</f>
        <v>0</v>
      </c>
      <c r="M6" s="92">
        <f>IFERROR('4'!M7/'4'!M11,0)</f>
        <v>0</v>
      </c>
      <c r="N6" s="92">
        <f>IFERROR('4'!N7/'4'!N11,0)</f>
        <v>2.5309428263273319</v>
      </c>
      <c r="O6" s="92">
        <f>IFERROR('4'!O7/'4'!O11,0)</f>
        <v>0</v>
      </c>
      <c r="P6" s="92">
        <f>IFERROR('4'!P7/'4'!P11,0)</f>
        <v>8.0195898362540693E-2</v>
      </c>
      <c r="Q6" s="92">
        <f>IFERROR('4'!Q7/'4'!Q11,0)</f>
        <v>0.24776514110487319</v>
      </c>
      <c r="R6" s="92">
        <f>IFERROR('4'!R7/'4'!R11,0)</f>
        <v>1.1216944003879881</v>
      </c>
      <c r="S6" s="92">
        <f>IFERROR('4'!S7/'4'!S11,0)</f>
        <v>0.78945396722666861</v>
      </c>
      <c r="T6" s="92">
        <f>IFERROR('4'!T7/'4'!T11,0)</f>
        <v>1.2748274212288975</v>
      </c>
      <c r="U6" s="92">
        <f>IFERROR('4'!U7/'4'!U11,0)</f>
        <v>1.0609067822526357</v>
      </c>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row>
    <row r="7" spans="1:198" s="31" customFormat="1" ht="19.5" customHeight="1" x14ac:dyDescent="0.2">
      <c r="A7" s="64" t="s">
        <v>73</v>
      </c>
      <c r="B7" s="93"/>
      <c r="C7" s="93"/>
      <c r="D7" s="93"/>
      <c r="E7" s="93"/>
      <c r="F7" s="93"/>
      <c r="G7" s="93"/>
      <c r="H7" s="93"/>
      <c r="I7" s="93"/>
      <c r="J7" s="93"/>
      <c r="K7" s="93"/>
      <c r="L7" s="93"/>
      <c r="M7" s="93"/>
      <c r="N7" s="93"/>
      <c r="O7" s="93"/>
      <c r="P7" s="93"/>
      <c r="Q7" s="93"/>
      <c r="R7" s="93"/>
      <c r="S7" s="93"/>
      <c r="T7" s="93"/>
      <c r="U7" s="93"/>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row>
    <row r="8" spans="1:198" s="31" customFormat="1" ht="19.5" customHeight="1" x14ac:dyDescent="0.2">
      <c r="A8" s="104" t="s">
        <v>74</v>
      </c>
      <c r="B8" s="94">
        <f>IFERROR(+'4'!B11/'4'!B13,0)</f>
        <v>0.55788745205158763</v>
      </c>
      <c r="C8" s="94">
        <f>IFERROR(+'4'!C11/'4'!C13,0)</f>
        <v>0.52721838797180121</v>
      </c>
      <c r="D8" s="94">
        <f>IFERROR(+'4'!D11/'4'!D13,0)</f>
        <v>0.66197250349058379</v>
      </c>
      <c r="E8" s="94">
        <f>IFERROR(+'4'!E11/'4'!E13,0)</f>
        <v>0.70066402782346626</v>
      </c>
      <c r="F8" s="94">
        <f>IFERROR(+'4'!F11/'4'!F13,0)</f>
        <v>0.9924217867344115</v>
      </c>
      <c r="G8" s="94">
        <f>IFERROR(+'4'!G11/'4'!G13,0)</f>
        <v>0.99057091202104464</v>
      </c>
      <c r="H8" s="94">
        <f>IFERROR(+'4'!H11/'4'!H13,0)</f>
        <v>0.53320877731322969</v>
      </c>
      <c r="I8" s="94">
        <f>IFERROR(+'4'!I11/'4'!I13,0)</f>
        <v>0.49480763125824173</v>
      </c>
      <c r="J8" s="94">
        <f>IFERROR(+'4'!J11/'4'!J13,0)</f>
        <v>0.95377280678443954</v>
      </c>
      <c r="K8" s="94">
        <f>IFERROR(+'4'!K11/'4'!K13,0)</f>
        <v>0.9355572003270981</v>
      </c>
      <c r="L8" s="94">
        <f>IFERROR(+'4'!L11/'4'!L13,0)</f>
        <v>0</v>
      </c>
      <c r="M8" s="94">
        <f>IFERROR(+'4'!M11/'4'!M13,0)</f>
        <v>0</v>
      </c>
      <c r="N8" s="94">
        <f>IFERROR(+'4'!N11/'4'!N13,0)</f>
        <v>0.14567873496785075</v>
      </c>
      <c r="O8" s="94">
        <f>IFERROR(+'4'!O11/'4'!O13,0)</f>
        <v>0</v>
      </c>
      <c r="P8" s="94">
        <f>IFERROR(+'4'!P11/'4'!P13,0)</f>
        <v>1</v>
      </c>
      <c r="Q8" s="94">
        <f>IFERROR(+'4'!Q11/'4'!Q13,0)</f>
        <v>1</v>
      </c>
      <c r="R8" s="94">
        <f>IFERROR(+'4'!R11/'4'!R13,0)</f>
        <v>0.87717069306384265</v>
      </c>
      <c r="S8" s="94">
        <f>IFERROR(+'4'!S11/'4'!S13,0)</f>
        <v>1</v>
      </c>
      <c r="T8" s="94">
        <f>IFERROR(+'4'!T11/'4'!T13,0)</f>
        <v>0.3249792690872475</v>
      </c>
      <c r="U8" s="94">
        <f>IFERROR(+'4'!U11/'4'!U13,0)</f>
        <v>0.39793909122329141</v>
      </c>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row>
    <row r="9" spans="1:198" s="31" customFormat="1" ht="19.5" customHeight="1" x14ac:dyDescent="0.2">
      <c r="A9" s="104" t="s">
        <v>75</v>
      </c>
      <c r="B9" s="92">
        <f>IFERROR('4'!B13/'4'!B25,0)</f>
        <v>-12.068066900707374</v>
      </c>
      <c r="C9" s="92">
        <f>IFERROR('4'!C13/'4'!C25,0)</f>
        <v>-14.193772506949173</v>
      </c>
      <c r="D9" s="92">
        <f>IFERROR('4'!D13/'4'!D25,0)</f>
        <v>-61.233793643227621</v>
      </c>
      <c r="E9" s="92">
        <f>IFERROR('4'!E13/'4'!E25,0)</f>
        <v>-44.545592542163817</v>
      </c>
      <c r="F9" s="92">
        <f>IFERROR('4'!F13/'4'!F25,0)</f>
        <v>-2.9073506759989125</v>
      </c>
      <c r="G9" s="92">
        <f>IFERROR('4'!G13/'4'!G25,0)</f>
        <v>2763.9716458464227</v>
      </c>
      <c r="H9" s="92">
        <f>IFERROR('4'!H13/'4'!H25,0)</f>
        <v>-13.364141741178349</v>
      </c>
      <c r="I9" s="92">
        <f>IFERROR('4'!I13/'4'!I25,0)</f>
        <v>-13.421678500344367</v>
      </c>
      <c r="J9" s="92">
        <f>IFERROR('4'!J13/'4'!J25,0)</f>
        <v>-2.3942811772807562</v>
      </c>
      <c r="K9" s="92">
        <f>IFERROR('4'!K13/'4'!K25,0)</f>
        <v>-2.1507661568461827</v>
      </c>
      <c r="L9" s="92">
        <f>IFERROR('4'!L13/'4'!L25,0)</f>
        <v>0</v>
      </c>
      <c r="M9" s="92">
        <f>IFERROR('4'!M13/'4'!M25,0)</f>
        <v>0</v>
      </c>
      <c r="N9" s="92">
        <f>IFERROR('4'!N13/'4'!N25,0)</f>
        <v>4.4180102555377099</v>
      </c>
      <c r="O9" s="92">
        <f>IFERROR('4'!O13/'4'!O25,0)</f>
        <v>0</v>
      </c>
      <c r="P9" s="92">
        <f>IFERROR('4'!P13/'4'!P25,0)</f>
        <v>-1.1281667135819082</v>
      </c>
      <c r="Q9" s="92">
        <f>IFERROR('4'!Q13/'4'!Q25,0)</f>
        <v>-1.4208598918858739</v>
      </c>
      <c r="R9" s="92">
        <f>IFERROR('4'!R13/'4'!R25,0)</f>
        <v>3.3081677737080692</v>
      </c>
      <c r="S9" s="92">
        <f>IFERROR('4'!S13/'4'!S25,0)</f>
        <v>7.1324451498553403</v>
      </c>
      <c r="T9" s="92">
        <f>IFERROR('4'!T13/'4'!T25,0)</f>
        <v>31.956465160298119</v>
      </c>
      <c r="U9" s="92">
        <f>IFERROR('4'!U13/'4'!U25,0)</f>
        <v>-24.182137325466847</v>
      </c>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row>
    <row r="10" spans="1:198" s="31" customFormat="1" ht="19.5" customHeight="1" x14ac:dyDescent="0.2">
      <c r="A10" s="105" t="s">
        <v>76</v>
      </c>
      <c r="B10" s="92">
        <f>IFERROR('4'!B12/'4'!B25,0)</f>
        <v>-5.3354438062836378</v>
      </c>
      <c r="C10" s="92">
        <f>IFERROR('4'!C12/'4'!C25,0)</f>
        <v>-6.7105546465969592</v>
      </c>
      <c r="D10" s="92">
        <f>IFERROR('4'!D12/'4'!D25,0)</f>
        <v>-20.698705966994439</v>
      </c>
      <c r="E10" s="92">
        <f>IFERROR('4'!E12/'4'!E25,0)</f>
        <v>-13.334098249788356</v>
      </c>
      <c r="F10" s="92">
        <f>IFERROR('4'!F12/'4'!F25,0)</f>
        <v>-2.2032523460572488E-2</v>
      </c>
      <c r="G10" s="92">
        <f>IFERROR('4'!G12/'4'!G25,0)</f>
        <v>26.06173182002388</v>
      </c>
      <c r="H10" s="92">
        <f>IFERROR('4'!H12/'4'!H25,0)</f>
        <v>-6.2382640635239452</v>
      </c>
      <c r="I10" s="92">
        <f>IFERROR('4'!I12/'4'!I25,0)</f>
        <v>-6.7805295540793002</v>
      </c>
      <c r="J10" s="92">
        <f>IFERROR('4'!J12/'4'!J25,0)</f>
        <v>-0.11068089859453709</v>
      </c>
      <c r="K10" s="92">
        <f>IFERROR('4'!K12/'4'!K25,0)</f>
        <v>-0.1386013925888957</v>
      </c>
      <c r="L10" s="92">
        <f>IFERROR('4'!L12/'4'!L25,0)</f>
        <v>0</v>
      </c>
      <c r="M10" s="92">
        <f>IFERROR('4'!M12/'4'!M25,0)</f>
        <v>0</v>
      </c>
      <c r="N10" s="92">
        <f>IFERROR('4'!N12/'4'!N25,0)</f>
        <v>3.7744001104359852</v>
      </c>
      <c r="O10" s="92">
        <f>IFERROR('4'!O12/'4'!O25,0)</f>
        <v>0</v>
      </c>
      <c r="P10" s="92">
        <f>IFERROR('4'!P12/'4'!P25,0)</f>
        <v>0</v>
      </c>
      <c r="Q10" s="92">
        <f>IFERROR('4'!Q12/'4'!Q25,0)</f>
        <v>0</v>
      </c>
      <c r="R10" s="92">
        <f>IFERROR('4'!R12/'4'!R25,0)</f>
        <v>0.40633995487309266</v>
      </c>
      <c r="S10" s="92">
        <f>IFERROR('4'!S12/'4'!S25,0)</f>
        <v>0</v>
      </c>
      <c r="T10" s="92">
        <f>IFERROR('4'!T12/'4'!T25,0)</f>
        <v>21.571276469892346</v>
      </c>
      <c r="U10" s="92">
        <f>IFERROR('4'!U12/'4'!U25,0)</f>
        <v>-14.559119574333732</v>
      </c>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row>
    <row r="11" spans="1:198" s="31" customFormat="1" ht="19.5" customHeight="1" x14ac:dyDescent="0.2">
      <c r="A11" s="104" t="s">
        <v>77</v>
      </c>
      <c r="B11" s="92">
        <f>IFERROR('4'!B13/'4'!B9,0)</f>
        <v>1.0903500140513325</v>
      </c>
      <c r="C11" s="92">
        <f>IFERROR('4'!C13/'4'!C9,0)</f>
        <v>1.0757932774912513</v>
      </c>
      <c r="D11" s="92">
        <f>IFERROR('4'!D13/'4'!D9,0)</f>
        <v>1.0166019760588736</v>
      </c>
      <c r="E11" s="92">
        <f>IFERROR('4'!E13/'4'!E9,0)</f>
        <v>1.0229644366196586</v>
      </c>
      <c r="F11" s="92">
        <f>IFERROR('4'!F13/'4'!F9,0)</f>
        <v>1.524287438373797</v>
      </c>
      <c r="G11" s="92">
        <f>IFERROR('4'!G13/'4'!G9,0)</f>
        <v>0.99963832280526488</v>
      </c>
      <c r="H11" s="92">
        <f>IFERROR('4'!H13/'4'!H9,0)</f>
        <v>1.0808790469191674</v>
      </c>
      <c r="I11" s="92">
        <f>IFERROR('4'!I13/'4'!I9,0)</f>
        <v>1.0805044181406143</v>
      </c>
      <c r="J11" s="92">
        <f>IFERROR('4'!J13/'4'!J9,0)</f>
        <v>1.7172154485727791</v>
      </c>
      <c r="K11" s="92">
        <f>IFERROR('4'!K13/'4'!K9,0)</f>
        <v>1.8689862784465472</v>
      </c>
      <c r="L11" s="92">
        <f>IFERROR('4'!L13/'4'!L9,0)</f>
        <v>0</v>
      </c>
      <c r="M11" s="92">
        <f>IFERROR('4'!M13/'4'!M9,0)</f>
        <v>0</v>
      </c>
      <c r="N11" s="92">
        <f>IFERROR('4'!N13/'4'!N9,0)</f>
        <v>0.81543039735336287</v>
      </c>
      <c r="O11" s="92">
        <f>IFERROR('4'!O13/'4'!O9,0)</f>
        <v>0</v>
      </c>
      <c r="P11" s="92">
        <f>IFERROR('4'!P13/'4'!P9,0)</f>
        <v>8.8023378461750408</v>
      </c>
      <c r="Q11" s="92">
        <f>IFERROR('4'!Q13/'4'!Q9,0)</f>
        <v>3.3760876702196518</v>
      </c>
      <c r="R11" s="92">
        <f>IFERROR('4'!R13/'4'!R9,0)</f>
        <v>0.76788276303842895</v>
      </c>
      <c r="S11" s="92">
        <f>IFERROR('4'!S13/'4'!S9,0)</f>
        <v>0.87703575227706421</v>
      </c>
      <c r="T11" s="92">
        <f>IFERROR('4'!T13/'4'!T9,0)</f>
        <v>0.96965693999231817</v>
      </c>
      <c r="U11" s="92">
        <f>IFERROR('4'!U13/'4'!U9,0)</f>
        <v>1.0431327415181058</v>
      </c>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row>
    <row r="12" spans="1:198" s="31" customFormat="1" ht="19.5" customHeight="1" x14ac:dyDescent="0.2">
      <c r="A12" s="64" t="s">
        <v>78</v>
      </c>
      <c r="B12" s="93"/>
      <c r="C12" s="93"/>
      <c r="D12" s="93"/>
      <c r="E12" s="93"/>
      <c r="F12" s="93"/>
      <c r="G12" s="93"/>
      <c r="H12" s="93"/>
      <c r="I12" s="93"/>
      <c r="J12" s="93"/>
      <c r="K12" s="93"/>
      <c r="L12" s="93"/>
      <c r="M12" s="93"/>
      <c r="N12" s="93"/>
      <c r="O12" s="93"/>
      <c r="P12" s="93"/>
      <c r="Q12" s="93"/>
      <c r="R12" s="93"/>
      <c r="S12" s="93"/>
      <c r="T12" s="93"/>
      <c r="U12" s="93"/>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row>
    <row r="13" spans="1:198" s="31" customFormat="1" ht="19.5" customHeight="1" x14ac:dyDescent="0.2">
      <c r="A13" s="104" t="s">
        <v>79</v>
      </c>
      <c r="B13" s="92">
        <f>IFERROR('4'!B9/'4'!B13,0)</f>
        <v>0.91713668740588561</v>
      </c>
      <c r="C13" s="92">
        <f>IFERROR('4'!C9/'4'!C13,0)</f>
        <v>0.92954661543526174</v>
      </c>
      <c r="D13" s="92">
        <f>IFERROR('4'!D9/'4'!D13,0)</f>
        <v>0.98366914834925312</v>
      </c>
      <c r="E13" s="92">
        <f>IFERROR('4'!E9/'4'!E13,0)</f>
        <v>0.97755108995231188</v>
      </c>
      <c r="F13" s="92">
        <f>IFERROR('4'!F9/'4'!F13,0)</f>
        <v>0.65604424390380145</v>
      </c>
      <c r="G13" s="92">
        <f>IFERROR('4'!G9/'4'!G13,0)</f>
        <v>1.0003618080524566</v>
      </c>
      <c r="H13" s="92">
        <f>IFERROR('4'!H9/'4'!H13,0)</f>
        <v>0.92517289779120315</v>
      </c>
      <c r="I13" s="92">
        <f>IFERROR('4'!I9/'4'!I13,0)</f>
        <v>0.92549367055883935</v>
      </c>
      <c r="J13" s="92">
        <f>IFERROR('4'!J9/'4'!J13,0)</f>
        <v>0.58233811070773045</v>
      </c>
      <c r="K13" s="92">
        <f>IFERROR('4'!K9/'4'!K13,0)</f>
        <v>0.53504940701393167</v>
      </c>
      <c r="L13" s="92">
        <f>IFERROR('4'!L9/'4'!L13,0)</f>
        <v>0</v>
      </c>
      <c r="M13" s="92">
        <f>IFERROR('4'!M9/'4'!M13,0)</f>
        <v>0</v>
      </c>
      <c r="N13" s="92">
        <f>IFERROR('4'!N9/'4'!N13,0)</f>
        <v>1.226346237822006</v>
      </c>
      <c r="O13" s="92">
        <f>IFERROR('4'!O9/'4'!O13,0)</f>
        <v>0</v>
      </c>
      <c r="P13" s="92">
        <f>IFERROR('4'!P9/'4'!P13,0)</f>
        <v>0.11360618252508214</v>
      </c>
      <c r="Q13" s="92">
        <f>IFERROR('4'!Q9/'4'!Q13,0)</f>
        <v>0.2962008388647499</v>
      </c>
      <c r="R13" s="92">
        <f>IFERROR('4'!R9/'4'!R13,0)</f>
        <v>1.3022821296874907</v>
      </c>
      <c r="S13" s="92">
        <f>IFERROR('4'!S9/'4'!S13,0)</f>
        <v>1.1402043729730305</v>
      </c>
      <c r="T13" s="92">
        <f>IFERROR('4'!T9/'4'!T13,0)</f>
        <v>1.0312925724101167</v>
      </c>
      <c r="U13" s="92">
        <f>IFERROR('4'!U9/'4'!U13,0)</f>
        <v>0.95865076437411667</v>
      </c>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row>
    <row r="14" spans="1:198" s="31" customFormat="1" ht="19.5" customHeight="1" x14ac:dyDescent="0.2">
      <c r="A14" s="104" t="s">
        <v>80</v>
      </c>
      <c r="B14" s="92">
        <f>IFERROR('4'!B9/'4'!B11,0)</f>
        <v>1.6439457170674605</v>
      </c>
      <c r="C14" s="92">
        <f>IFERROR('4'!C9/'4'!C11,0)</f>
        <v>1.763114938026364</v>
      </c>
      <c r="D14" s="92">
        <f>IFERROR('4'!D9/'4'!D11,0)</f>
        <v>1.4859667783213979</v>
      </c>
      <c r="E14" s="92">
        <f>IFERROR('4'!E9/'4'!E11,0)</f>
        <v>1.3951780755592149</v>
      </c>
      <c r="F14" s="92">
        <f>IFERROR('4'!F9/'4'!F11,0)</f>
        <v>0.66105385096646385</v>
      </c>
      <c r="G14" s="92">
        <f>IFERROR('4'!G9/'4'!G11,0)</f>
        <v>1.0098840940235523</v>
      </c>
      <c r="H14" s="92">
        <f>IFERROR('4'!H9/'4'!H11,0)</f>
        <v>1.735104404044191</v>
      </c>
      <c r="I14" s="92">
        <f>IFERROR('4'!I9/'4'!I11,0)</f>
        <v>1.8704110690560898</v>
      </c>
      <c r="J14" s="92">
        <f>IFERROR('4'!J9/'4'!J11,0)</f>
        <v>0.61056271112512817</v>
      </c>
      <c r="K14" s="92">
        <f>IFERROR('4'!K9/'4'!K11,0)</f>
        <v>0.571904536491048</v>
      </c>
      <c r="L14" s="92">
        <f>IFERROR('4'!L9/'4'!L11,0)</f>
        <v>0</v>
      </c>
      <c r="M14" s="92">
        <f>IFERROR('4'!M9/'4'!M11,0)</f>
        <v>0</v>
      </c>
      <c r="N14" s="92">
        <f>IFERROR('4'!N9/'4'!N11,0)</f>
        <v>8.4181554575734303</v>
      </c>
      <c r="O14" s="92">
        <f>IFERROR('4'!O9/'4'!O11,0)</f>
        <v>0</v>
      </c>
      <c r="P14" s="92">
        <f>IFERROR('4'!P9/'4'!P11,0)</f>
        <v>0.11360618252508214</v>
      </c>
      <c r="Q14" s="92">
        <f>IFERROR('4'!Q9/'4'!Q11,0)</f>
        <v>0.2962008388647499</v>
      </c>
      <c r="R14" s="92">
        <f>IFERROR('4'!R9/'4'!R11,0)</f>
        <v>1.4846393523919379</v>
      </c>
      <c r="S14" s="92">
        <f>IFERROR('4'!S9/'4'!S11,0)</f>
        <v>1.1402043729730305</v>
      </c>
      <c r="T14" s="92">
        <f>IFERROR('4'!T9/'4'!T11,0)</f>
        <v>3.173410338778393</v>
      </c>
      <c r="U14" s="92">
        <f>IFERROR('4'!U9/'4'!U11,0)</f>
        <v>2.4090389346448977</v>
      </c>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row>
    <row r="15" spans="1:198" s="31" customFormat="1" ht="19.5" customHeight="1" x14ac:dyDescent="0.2">
      <c r="A15" s="64" t="s">
        <v>81</v>
      </c>
      <c r="B15" s="93"/>
      <c r="C15" s="93"/>
      <c r="D15" s="93"/>
      <c r="E15" s="93"/>
      <c r="F15" s="93"/>
      <c r="G15" s="93"/>
      <c r="H15" s="93"/>
      <c r="I15" s="93"/>
      <c r="J15" s="93"/>
      <c r="K15" s="93"/>
      <c r="L15" s="93"/>
      <c r="M15" s="93"/>
      <c r="N15" s="93"/>
      <c r="O15" s="93"/>
      <c r="P15" s="93"/>
      <c r="Q15" s="93"/>
      <c r="R15" s="93"/>
      <c r="S15" s="93"/>
      <c r="T15" s="93"/>
      <c r="U15" s="93"/>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row>
    <row r="16" spans="1:198" s="31" customFormat="1" ht="19.5" customHeight="1" x14ac:dyDescent="0.2">
      <c r="A16" s="104" t="s">
        <v>82</v>
      </c>
      <c r="B16" s="92">
        <f>IFERROR('4'!B8/'4'!B12,0)</f>
        <v>1.4911262322582011</v>
      </c>
      <c r="C16" s="92">
        <f>IFERROR('4'!C8/'4'!C12,0)</f>
        <v>1.4226580187812947</v>
      </c>
      <c r="D16" s="92">
        <f>IFERROR('4'!D8/'4'!D12,0)</f>
        <v>1.7477575711968338</v>
      </c>
      <c r="E16" s="92">
        <f>IFERROR('4'!E8/'4'!E12,0)</f>
        <v>1.7931650457765442</v>
      </c>
      <c r="F16" s="92">
        <f>IFERROR('4'!F8/'4'!F12,0)</f>
        <v>1.5386833986649278</v>
      </c>
      <c r="G16" s="92">
        <f>IFERROR('4'!G8/'4'!G12,0)</f>
        <v>1.9305891176952796</v>
      </c>
      <c r="H16" s="92">
        <f>IFERROR('4'!H8/'4'!H12,0)</f>
        <v>1.5205275262459068</v>
      </c>
      <c r="I16" s="92">
        <f>IFERROR('4'!I8/'4'!I12,0)</f>
        <v>1.4228482046311579</v>
      </c>
      <c r="J16" s="92">
        <f>IFERROR('4'!J8/'4'!J12,0)</f>
        <v>1.570868689042078</v>
      </c>
      <c r="K16" s="92">
        <f>IFERROR('4'!K8/'4'!K12,0)</f>
        <v>0.91594153621841368</v>
      </c>
      <c r="L16" s="92">
        <f>IFERROR('4'!L8/'4'!L12,0)</f>
        <v>0</v>
      </c>
      <c r="M16" s="92">
        <f>IFERROR('4'!M8/'4'!M12,0)</f>
        <v>0</v>
      </c>
      <c r="N16" s="92">
        <f>IFERROR('4'!N8/'4'!N12,0)</f>
        <v>1.0038866217082978</v>
      </c>
      <c r="O16" s="92">
        <f>IFERROR('4'!O8/'4'!O12,0)</f>
        <v>0</v>
      </c>
      <c r="P16" s="92">
        <f>IFERROR('4'!P8/'4'!P12,0)</f>
        <v>0</v>
      </c>
      <c r="Q16" s="92">
        <f>IFERROR('4'!Q8/'4'!Q12,0)</f>
        <v>0</v>
      </c>
      <c r="R16" s="92">
        <f>IFERROR('4'!R8/'4'!R12,0)</f>
        <v>2.5919276354689793</v>
      </c>
      <c r="S16" s="92">
        <f>IFERROR('4'!S8/'4'!S12,0)</f>
        <v>0</v>
      </c>
      <c r="T16" s="92">
        <f>IFERROR('4'!T8/'4'!T12,0)</f>
        <v>0.91404613309056604</v>
      </c>
      <c r="U16" s="92">
        <f>IFERROR('4'!U8/'4'!U12,0)</f>
        <v>0.8910634717372814</v>
      </c>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c r="FM16" s="32"/>
      <c r="FN16" s="32"/>
      <c r="FO16" s="32"/>
      <c r="FP16" s="32"/>
      <c r="FQ16" s="32"/>
      <c r="FR16" s="32"/>
      <c r="FS16" s="32"/>
      <c r="FT16" s="32"/>
      <c r="FU16" s="32"/>
      <c r="FV16" s="32"/>
      <c r="FW16" s="32"/>
      <c r="FX16" s="32"/>
      <c r="FY16" s="32"/>
      <c r="FZ16" s="32"/>
      <c r="GA16" s="32"/>
      <c r="GB16" s="32"/>
      <c r="GC16" s="32"/>
      <c r="GD16" s="32"/>
      <c r="GE16" s="32"/>
      <c r="GF16" s="32"/>
      <c r="GG16" s="32"/>
      <c r="GH16" s="32"/>
      <c r="GI16" s="32"/>
      <c r="GJ16" s="32"/>
      <c r="GK16" s="32"/>
      <c r="GL16" s="32"/>
      <c r="GM16" s="32"/>
      <c r="GN16" s="32"/>
      <c r="GO16" s="32"/>
      <c r="GP16" s="32"/>
    </row>
    <row r="17" spans="1:198" s="31" customFormat="1" ht="19.5" customHeight="1" x14ac:dyDescent="0.2">
      <c r="A17" s="104" t="s">
        <v>83</v>
      </c>
      <c r="B17" s="92">
        <f>IFERROR('4'!B9/'4'!B13,0)</f>
        <v>0.91713668740588561</v>
      </c>
      <c r="C17" s="92">
        <f>IFERROR('4'!C9/'4'!C13,0)</f>
        <v>0.92954661543526174</v>
      </c>
      <c r="D17" s="92">
        <f>IFERROR('4'!D9/'4'!D13,0)</f>
        <v>0.98366914834925312</v>
      </c>
      <c r="E17" s="92">
        <f>IFERROR('4'!E9/'4'!E13,0)</f>
        <v>0.97755108995231188</v>
      </c>
      <c r="F17" s="92">
        <f>IFERROR('4'!F9/'4'!F13,0)</f>
        <v>0.65604424390380145</v>
      </c>
      <c r="G17" s="92">
        <f>IFERROR('4'!G9/'4'!G13,0)</f>
        <v>1.0003618080524566</v>
      </c>
      <c r="H17" s="92">
        <f>IFERROR('4'!H9/'4'!H13,0)</f>
        <v>0.92517289779120315</v>
      </c>
      <c r="I17" s="92">
        <f>IFERROR('4'!I9/'4'!I13,0)</f>
        <v>0.92549367055883935</v>
      </c>
      <c r="J17" s="92">
        <f>IFERROR('4'!J9/'4'!J13,0)</f>
        <v>0.58233811070773045</v>
      </c>
      <c r="K17" s="92">
        <f>IFERROR('4'!K9/'4'!K13,0)</f>
        <v>0.53504940701393167</v>
      </c>
      <c r="L17" s="92">
        <f>IFERROR('4'!L9/'4'!L13,0)</f>
        <v>0</v>
      </c>
      <c r="M17" s="92">
        <f>IFERROR('4'!M9/'4'!M13,0)</f>
        <v>0</v>
      </c>
      <c r="N17" s="92">
        <f>IFERROR('4'!N9/'4'!N13,0)</f>
        <v>1.226346237822006</v>
      </c>
      <c r="O17" s="92">
        <f>IFERROR('4'!O9/'4'!O13,0)</f>
        <v>0</v>
      </c>
      <c r="P17" s="92">
        <f>IFERROR('4'!P9/'4'!P13,0)</f>
        <v>0.11360618252508214</v>
      </c>
      <c r="Q17" s="92">
        <f>IFERROR('4'!Q9/'4'!Q13,0)</f>
        <v>0.2962008388647499</v>
      </c>
      <c r="R17" s="92">
        <f>IFERROR('4'!R9/'4'!R13,0)</f>
        <v>1.3022821296874907</v>
      </c>
      <c r="S17" s="92">
        <f>IFERROR('4'!S9/'4'!S13,0)</f>
        <v>1.1402043729730305</v>
      </c>
      <c r="T17" s="92">
        <f>IFERROR('4'!T9/'4'!T13,0)</f>
        <v>1.0312925724101167</v>
      </c>
      <c r="U17" s="92">
        <f>IFERROR('4'!U9/'4'!U13,0)</f>
        <v>0.95865076437411667</v>
      </c>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row>
    <row r="18" spans="1:198" s="31" customFormat="1" ht="19.5" customHeight="1" x14ac:dyDescent="0.2">
      <c r="A18" s="64" t="s">
        <v>84</v>
      </c>
      <c r="B18" s="93"/>
      <c r="C18" s="93"/>
      <c r="D18" s="93"/>
      <c r="E18" s="93"/>
      <c r="F18" s="93"/>
      <c r="G18" s="93"/>
      <c r="H18" s="93"/>
      <c r="I18" s="93"/>
      <c r="J18" s="93"/>
      <c r="K18" s="93"/>
      <c r="L18" s="93"/>
      <c r="M18" s="93"/>
      <c r="N18" s="93"/>
      <c r="O18" s="93"/>
      <c r="P18" s="93"/>
      <c r="Q18" s="93"/>
      <c r="R18" s="93"/>
      <c r="S18" s="93"/>
      <c r="T18" s="93"/>
      <c r="U18" s="93"/>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row>
    <row r="19" spans="1:198" s="31" customFormat="1" ht="19.5" customHeight="1" x14ac:dyDescent="0.2">
      <c r="A19" s="104" t="s">
        <v>85</v>
      </c>
      <c r="B19" s="92">
        <f>IFERROR('4'!B25/'4'!B9,0)</f>
        <v>-9.0350014051332556E-2</v>
      </c>
      <c r="C19" s="92">
        <f>IFERROR('4'!C25/'4'!C9,0)</f>
        <v>-7.5793329572145129E-2</v>
      </c>
      <c r="D19" s="92">
        <f>IFERROR('4'!D25/'4'!D9,0)</f>
        <v>-1.6601976058873636E-2</v>
      </c>
      <c r="E19" s="92">
        <f>IFERROR('4'!E25/'4'!E9,0)</f>
        <v>-2.2964436619658617E-2</v>
      </c>
      <c r="F19" s="92">
        <f>IFERROR('4'!F25/'4'!F9,0)</f>
        <v>-0.5242874383737971</v>
      </c>
      <c r="G19" s="92">
        <f>IFERROR('4'!G25/'4'!G9,0)</f>
        <v>3.6166735802354498E-4</v>
      </c>
      <c r="H19" s="92">
        <f>IFERROR('4'!H25/'4'!H9,0)</f>
        <v>-8.0879046919167405E-2</v>
      </c>
      <c r="I19" s="92">
        <f>IFERROR('4'!I25/'4'!I9,0)</f>
        <v>-8.0504418140614167E-2</v>
      </c>
      <c r="J19" s="92">
        <f>IFERROR('4'!J25/'4'!J9,0)</f>
        <v>-0.71721544857277908</v>
      </c>
      <c r="K19" s="92">
        <f>IFERROR('4'!K25/'4'!K9,0)</f>
        <v>-0.8689862784465473</v>
      </c>
      <c r="L19" s="92">
        <f>IFERROR('4'!L25/'4'!L9,0)</f>
        <v>0</v>
      </c>
      <c r="M19" s="92">
        <f>IFERROR('4'!M25/'4'!M9,0)</f>
        <v>0</v>
      </c>
      <c r="N19" s="92">
        <f>IFERROR('4'!N25/'4'!N9,0)</f>
        <v>0.18456960264663713</v>
      </c>
      <c r="O19" s="92">
        <f>IFERROR('4'!O25/'4'!O9,0)</f>
        <v>0</v>
      </c>
      <c r="P19" s="92">
        <f>IFERROR('4'!P25/'4'!P9,0)</f>
        <v>-7.8023378461750399</v>
      </c>
      <c r="Q19" s="92">
        <f>IFERROR('4'!Q25/'4'!Q9,0)</f>
        <v>-2.3760876702196514</v>
      </c>
      <c r="R19" s="92">
        <f>IFERROR('4'!R25/'4'!R9,0)</f>
        <v>0.23211723696157108</v>
      </c>
      <c r="S19" s="92">
        <f>IFERROR('4'!S25/'4'!S9,0)</f>
        <v>0.12296424772293582</v>
      </c>
      <c r="T19" s="92">
        <f>IFERROR('4'!T25/'4'!T9,0)</f>
        <v>3.0343060007681787E-2</v>
      </c>
      <c r="U19" s="92">
        <f>IFERROR('4'!U25/'4'!U9,0)</f>
        <v>-4.3136498957003076E-2</v>
      </c>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row>
    <row r="20" spans="1:198" s="31" customFormat="1" ht="19.5" customHeight="1" x14ac:dyDescent="0.2">
      <c r="A20" s="64" t="s">
        <v>86</v>
      </c>
      <c r="B20" s="93"/>
      <c r="C20" s="93"/>
      <c r="D20" s="93"/>
      <c r="E20" s="93"/>
      <c r="F20" s="93"/>
      <c r="G20" s="93"/>
      <c r="H20" s="93"/>
      <c r="I20" s="93"/>
      <c r="J20" s="93"/>
      <c r="K20" s="93"/>
      <c r="L20" s="93"/>
      <c r="M20" s="93"/>
      <c r="N20" s="93"/>
      <c r="O20" s="93"/>
      <c r="P20" s="93"/>
      <c r="Q20" s="93"/>
      <c r="R20" s="93"/>
      <c r="S20" s="93"/>
      <c r="T20" s="93"/>
      <c r="U20" s="93"/>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32"/>
      <c r="FZ20" s="32"/>
      <c r="GA20" s="32"/>
      <c r="GB20" s="32"/>
      <c r="GC20" s="32"/>
      <c r="GD20" s="32"/>
      <c r="GE20" s="32"/>
      <c r="GF20" s="32"/>
      <c r="GG20" s="32"/>
      <c r="GH20" s="32"/>
      <c r="GI20" s="32"/>
      <c r="GJ20" s="32"/>
      <c r="GK20" s="32"/>
      <c r="GL20" s="32"/>
      <c r="GM20" s="32"/>
      <c r="GN20" s="32"/>
      <c r="GO20" s="32"/>
      <c r="GP20" s="32"/>
    </row>
    <row r="21" spans="1:198" s="31" customFormat="1" ht="19.5" customHeight="1" x14ac:dyDescent="0.2">
      <c r="A21" s="104" t="s">
        <v>87</v>
      </c>
      <c r="B21" s="92">
        <f>IFERROR('4'!B30/'4'!B27,0)</f>
        <v>-4.5204094397810937E-2</v>
      </c>
      <c r="C21" s="92">
        <f>IFERROR('4'!C30/'4'!C27,0)</f>
        <v>3.4959675023801602E-2</v>
      </c>
      <c r="D21" s="92">
        <f>IFERROR('4'!D30/'4'!D27,0)</f>
        <v>-4.9187452685979342E-2</v>
      </c>
      <c r="E21" s="92">
        <f>IFERROR('4'!E30/'4'!E27,0)</f>
        <v>-3.267947148705104E-2</v>
      </c>
      <c r="F21" s="92">
        <f>IFERROR('4'!F30/'4'!F27,0)</f>
        <v>-0.21336792464355905</v>
      </c>
      <c r="G21" s="92">
        <f>IFERROR('4'!G30/'4'!G27,0)</f>
        <v>-7.8311634787403564E-2</v>
      </c>
      <c r="H21" s="92">
        <f>IFERROR('4'!H30/'4'!H27,0)</f>
        <v>-2.2793155882799017E-2</v>
      </c>
      <c r="I21" s="92">
        <f>IFERROR('4'!I30/'4'!I27,0)</f>
        <v>6.5255500882844167E-2</v>
      </c>
      <c r="J21" s="92">
        <f>IFERROR('4'!J30/'4'!J27,0)</f>
        <v>6.54298515347711E-2</v>
      </c>
      <c r="K21" s="92">
        <f>IFERROR('4'!K30/'4'!K27,0)</f>
        <v>8.3826437928794836E-2</v>
      </c>
      <c r="L21" s="92">
        <f>IFERROR('4'!L30/'4'!L27,0)</f>
        <v>0</v>
      </c>
      <c r="M21" s="92">
        <f>IFERROR('4'!M30/'4'!M27,0)</f>
        <v>0</v>
      </c>
      <c r="N21" s="92">
        <f>IFERROR('4'!N30/'4'!N27,0)</f>
        <v>6.2630292877043775E-2</v>
      </c>
      <c r="O21" s="92">
        <f>IFERROR('4'!O30/'4'!O27,0)</f>
        <v>0</v>
      </c>
      <c r="P21" s="92">
        <f>IFERROR('4'!P30/'4'!P27,0)</f>
        <v>-0.78955888914730699</v>
      </c>
      <c r="Q21" s="92">
        <f>IFERROR('4'!Q30/'4'!Q27,0)</f>
        <v>5.9614581063751684E-3</v>
      </c>
      <c r="R21" s="92">
        <f>IFERROR('4'!R30/'4'!R27,0)</f>
        <v>0.17426513409851915</v>
      </c>
      <c r="S21" s="92">
        <f>IFERROR('4'!S30/'4'!S27,0)</f>
        <v>-0.13002931119015423</v>
      </c>
      <c r="T21" s="92">
        <f>IFERROR('4'!T30/'4'!T27,0)</f>
        <v>-0.25710062997653754</v>
      </c>
      <c r="U21" s="92">
        <f>IFERROR('4'!U30/'4'!U27,0)</f>
        <v>-0.33188041197491419</v>
      </c>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32"/>
      <c r="FE21" s="32"/>
      <c r="FF21" s="32"/>
      <c r="FG21" s="32"/>
      <c r="FH21" s="32"/>
      <c r="FI21" s="32"/>
      <c r="FJ21" s="32"/>
      <c r="FK21" s="32"/>
      <c r="FL21" s="32"/>
      <c r="FM21" s="32"/>
      <c r="FN21" s="32"/>
      <c r="FO21" s="32"/>
      <c r="FP21" s="32"/>
      <c r="FQ21" s="32"/>
      <c r="FR21" s="32"/>
      <c r="FS21" s="32"/>
      <c r="FT21" s="32"/>
      <c r="FU21" s="32"/>
      <c r="FV21" s="32"/>
      <c r="FW21" s="32"/>
      <c r="FX21" s="32"/>
      <c r="FY21" s="32"/>
      <c r="FZ21" s="32"/>
      <c r="GA21" s="32"/>
      <c r="GB21" s="32"/>
      <c r="GC21" s="32"/>
      <c r="GD21" s="32"/>
      <c r="GE21" s="32"/>
      <c r="GF21" s="32"/>
      <c r="GG21" s="32"/>
      <c r="GH21" s="32"/>
      <c r="GI21" s="32"/>
      <c r="GJ21" s="32"/>
      <c r="GK21" s="32"/>
      <c r="GL21" s="32"/>
      <c r="GM21" s="32"/>
      <c r="GN21" s="32"/>
      <c r="GO21" s="32"/>
      <c r="GP21" s="32"/>
    </row>
    <row r="22" spans="1:198" s="31" customFormat="1" ht="19.5" customHeight="1" x14ac:dyDescent="0.2">
      <c r="A22" s="104" t="s">
        <v>88</v>
      </c>
      <c r="B22" s="92">
        <f>IFERROR(+'4'!B35/'4'!B31,0)</f>
        <v>-3.9546546123743482</v>
      </c>
      <c r="C22" s="92">
        <f>IFERROR(+'4'!C35/'4'!C31,0)</f>
        <v>-1.8377028742953985</v>
      </c>
      <c r="D22" s="92">
        <f>IFERROR(+'4'!D35/'4'!D31,0)</f>
        <v>-3.8352373777178173</v>
      </c>
      <c r="E22" s="92">
        <f>IFERROR(+'4'!E35/'4'!E31,0)</f>
        <v>2.8639925765049291E-2</v>
      </c>
      <c r="F22" s="92">
        <f>IFERROR(+'4'!F35/'4'!F31,0)</f>
        <v>-610.48797224564282</v>
      </c>
      <c r="G22" s="92">
        <f>IFERROR(+'4'!G35/'4'!G31,0)</f>
        <v>-13.808909606726148</v>
      </c>
      <c r="H22" s="92">
        <f>IFERROR(+'4'!H35/'4'!H31,0)</f>
        <v>-4.0605458010801536</v>
      </c>
      <c r="I22" s="92">
        <f>IFERROR(+'4'!I35/'4'!I31,0)</f>
        <v>-2.482627552887104</v>
      </c>
      <c r="J22" s="92">
        <f>IFERROR(+'4'!J35/'4'!J31,0)</f>
        <v>2.8411736444009388</v>
      </c>
      <c r="K22" s="92">
        <f>IFERROR(+'4'!K35/'4'!K31,0)</f>
        <v>24.447097367936685</v>
      </c>
      <c r="L22" s="92">
        <f>IFERROR(+'4'!L35/'4'!L31,0)</f>
        <v>0</v>
      </c>
      <c r="M22" s="92">
        <f>IFERROR(+'4'!M35/'4'!M31,0)</f>
        <v>0</v>
      </c>
      <c r="N22" s="92">
        <f>IFERROR(+'4'!N35/'4'!N31,0)</f>
        <v>0.11629392268883969</v>
      </c>
      <c r="O22" s="92">
        <f>IFERROR(+'4'!O35/'4'!O31,0)</f>
        <v>0</v>
      </c>
      <c r="P22" s="92">
        <f>IFERROR(+'4'!P35/'4'!P31,0)</f>
        <v>-65245.036221314658</v>
      </c>
      <c r="Q22" s="92">
        <f>IFERROR(+'4'!Q35/'4'!Q31,0)</f>
        <v>2651.752117447787</v>
      </c>
      <c r="R22" s="92">
        <f>IFERROR(+'4'!R35/'4'!R31,0)</f>
        <v>1.3180996341359652</v>
      </c>
      <c r="S22" s="92">
        <f>IFERROR(+'4'!S35/'4'!S31,0)</f>
        <v>-1.6960793779763097</v>
      </c>
      <c r="T22" s="92">
        <f>IFERROR(+'4'!T35/'4'!T31,0)</f>
        <v>-3.6651529839957821E-2</v>
      </c>
      <c r="U22" s="92">
        <f>IFERROR(+'4'!U35/'4'!U31,0)</f>
        <v>-0.44895492873454657</v>
      </c>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2"/>
      <c r="GI22" s="32"/>
      <c r="GJ22" s="32"/>
      <c r="GK22" s="32"/>
      <c r="GL22" s="32"/>
      <c r="GM22" s="32"/>
      <c r="GN22" s="32"/>
      <c r="GO22" s="32"/>
      <c r="GP22" s="32"/>
    </row>
    <row r="23" spans="1:198" s="31" customFormat="1" ht="19.5" customHeight="1" x14ac:dyDescent="0.2">
      <c r="A23" s="64" t="s">
        <v>89</v>
      </c>
      <c r="B23" s="95"/>
      <c r="C23" s="95"/>
      <c r="D23" s="95"/>
      <c r="E23" s="95"/>
      <c r="F23" s="95"/>
      <c r="G23" s="95"/>
      <c r="H23" s="95"/>
      <c r="I23" s="95"/>
      <c r="J23" s="95"/>
      <c r="K23" s="95"/>
      <c r="L23" s="95"/>
      <c r="M23" s="95"/>
      <c r="N23" s="95"/>
      <c r="O23" s="95"/>
      <c r="P23" s="95"/>
      <c r="Q23" s="95"/>
      <c r="R23" s="95"/>
      <c r="S23" s="95"/>
      <c r="T23" s="95"/>
      <c r="U23" s="95"/>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row>
    <row r="24" spans="1:198" s="31" customFormat="1" ht="30.75" customHeight="1" x14ac:dyDescent="0.2">
      <c r="A24" s="299" t="s">
        <v>90</v>
      </c>
      <c r="B24" s="300">
        <f>'4'!B7-'4'!B11</f>
        <v>-6777816399.9170008</v>
      </c>
      <c r="C24" s="300">
        <f>'4'!C7-'4'!C11</f>
        <v>-5675387058.7640009</v>
      </c>
      <c r="D24" s="300">
        <f>'4'!D7-'4'!D11</f>
        <v>-221517662</v>
      </c>
      <c r="E24" s="300">
        <f>'4'!E7-'4'!E11</f>
        <v>-186610617</v>
      </c>
      <c r="F24" s="300">
        <f>'4'!F7-'4'!F11</f>
        <v>-499518547</v>
      </c>
      <c r="G24" s="300">
        <f>'4'!G7-'4'!G11</f>
        <v>-8549357</v>
      </c>
      <c r="H24" s="300">
        <f>'4'!H7-'4'!H11</f>
        <v>-6144327206</v>
      </c>
      <c r="I24" s="300">
        <f>'4'!I7-'4'!I11</f>
        <v>-5434158563</v>
      </c>
      <c r="J24" s="300">
        <f>'4'!J7-'4'!J11</f>
        <v>-63215858</v>
      </c>
      <c r="K24" s="300">
        <f>'4'!K7-'4'!K11</f>
        <v>-48027236</v>
      </c>
      <c r="L24" s="96">
        <f>'4'!L7-'4'!L11</f>
        <v>0</v>
      </c>
      <c r="M24" s="96">
        <f>'4'!M7-'4'!M11</f>
        <v>0</v>
      </c>
      <c r="N24" s="300">
        <f>'4'!N7-'4'!N11</f>
        <v>126152564</v>
      </c>
      <c r="O24" s="300">
        <f>'4'!O7-'4'!O11</f>
        <v>0</v>
      </c>
      <c r="P24" s="300">
        <f>'4'!P7-'4'!P11</f>
        <v>-1743895.9170000001</v>
      </c>
      <c r="Q24" s="300">
        <f>'4'!Q7-'4'!Q11</f>
        <v>-931112.91200000013</v>
      </c>
      <c r="R24" s="300">
        <f>'4'!R7-'4'!R11</f>
        <v>2228205</v>
      </c>
      <c r="S24" s="96">
        <f>'4'!S7-'4'!S11</f>
        <v>-3883007</v>
      </c>
      <c r="T24" s="96">
        <f>'4'!T7-'4'!T11</f>
        <v>24126000</v>
      </c>
      <c r="U24" s="96">
        <f>'4'!U7-'4'!U11</f>
        <v>6772834.1480000019</v>
      </c>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row>
    <row r="25" spans="1:198" s="17" customFormat="1" x14ac:dyDescent="0.2">
      <c r="A25" s="11" t="s">
        <v>109</v>
      </c>
    </row>
    <row r="26" spans="1:198" s="17" customFormat="1" x14ac:dyDescent="0.2"/>
    <row r="27" spans="1:198" s="17" customFormat="1" x14ac:dyDescent="0.2"/>
    <row r="28" spans="1:198" s="17" customFormat="1" x14ac:dyDescent="0.2"/>
    <row r="29" spans="1:198" s="17" customFormat="1" x14ac:dyDescent="0.2"/>
    <row r="30" spans="1:198" s="17" customFormat="1" x14ac:dyDescent="0.2"/>
    <row r="31" spans="1:198" s="17" customFormat="1" x14ac:dyDescent="0.2"/>
    <row r="32" spans="1:198" s="17" customFormat="1" x14ac:dyDescent="0.2"/>
    <row r="33" spans="2:3" s="17" customFormat="1" x14ac:dyDescent="0.2"/>
    <row r="34" spans="2:3" s="17" customFormat="1" x14ac:dyDescent="0.2"/>
    <row r="35" spans="2:3" s="17" customFormat="1" x14ac:dyDescent="0.2"/>
    <row r="36" spans="2:3" s="17" customFormat="1" x14ac:dyDescent="0.2">
      <c r="B36" s="176"/>
      <c r="C36" s="176"/>
    </row>
    <row r="37" spans="2:3" s="17" customFormat="1" x14ac:dyDescent="0.2"/>
    <row r="38" spans="2:3" s="17" customFormat="1" x14ac:dyDescent="0.2"/>
    <row r="39" spans="2:3" s="17" customFormat="1" x14ac:dyDescent="0.2"/>
    <row r="40" spans="2:3" s="17" customFormat="1" x14ac:dyDescent="0.2"/>
    <row r="41" spans="2:3" s="17" customFormat="1" x14ac:dyDescent="0.2"/>
    <row r="42" spans="2:3" s="17" customFormat="1" x14ac:dyDescent="0.2"/>
    <row r="43" spans="2:3" s="17" customFormat="1" x14ac:dyDescent="0.2"/>
    <row r="44" spans="2:3" s="17" customFormat="1" x14ac:dyDescent="0.2"/>
    <row r="45" spans="2:3" s="17" customFormat="1" x14ac:dyDescent="0.2"/>
    <row r="46" spans="2:3" s="17" customFormat="1" x14ac:dyDescent="0.2"/>
    <row r="47" spans="2:3" s="17" customFormat="1" x14ac:dyDescent="0.2"/>
    <row r="48" spans="2:3" s="17" customFormat="1" x14ac:dyDescent="0.2"/>
    <row r="49" s="17" customFormat="1" x14ac:dyDescent="0.2"/>
    <row r="50" s="17" customFormat="1" x14ac:dyDescent="0.2"/>
    <row r="51" s="17" customFormat="1" x14ac:dyDescent="0.2"/>
    <row r="52" s="17" customFormat="1" x14ac:dyDescent="0.2"/>
    <row r="53" s="17" customFormat="1" x14ac:dyDescent="0.2"/>
    <row r="54" s="17" customFormat="1" x14ac:dyDescent="0.2"/>
    <row r="55" s="17" customFormat="1" x14ac:dyDescent="0.2"/>
    <row r="56" s="17" customFormat="1" x14ac:dyDescent="0.2"/>
    <row r="57" s="17" customFormat="1" x14ac:dyDescent="0.2"/>
    <row r="58" s="17" customFormat="1" x14ac:dyDescent="0.2"/>
    <row r="59" s="17" customFormat="1" x14ac:dyDescent="0.2"/>
    <row r="60" s="17" customFormat="1" x14ac:dyDescent="0.2"/>
    <row r="61" s="17" customFormat="1" x14ac:dyDescent="0.2"/>
    <row r="62" s="17" customFormat="1" x14ac:dyDescent="0.2"/>
    <row r="63" s="17" customFormat="1" x14ac:dyDescent="0.2"/>
    <row r="64" s="17" customFormat="1" x14ac:dyDescent="0.2"/>
    <row r="65" s="17" customFormat="1" x14ac:dyDescent="0.2"/>
    <row r="66" s="17" customFormat="1" x14ac:dyDescent="0.2"/>
    <row r="67" s="17" customFormat="1" x14ac:dyDescent="0.2"/>
    <row r="68" s="17" customFormat="1" x14ac:dyDescent="0.2"/>
    <row r="69" s="17" customFormat="1" x14ac:dyDescent="0.2"/>
    <row r="70" s="17" customFormat="1" x14ac:dyDescent="0.2"/>
    <row r="71" s="17" customFormat="1" x14ac:dyDescent="0.2"/>
    <row r="72" s="17" customFormat="1" x14ac:dyDescent="0.2"/>
    <row r="73" s="17" customFormat="1" x14ac:dyDescent="0.2"/>
    <row r="74" s="17" customFormat="1" x14ac:dyDescent="0.2"/>
    <row r="75" s="17" customFormat="1" x14ac:dyDescent="0.2"/>
    <row r="76" s="17" customFormat="1" x14ac:dyDescent="0.2"/>
    <row r="77" s="17" customFormat="1" x14ac:dyDescent="0.2"/>
    <row r="78" s="17" customFormat="1" x14ac:dyDescent="0.2"/>
    <row r="79" s="17" customFormat="1" x14ac:dyDescent="0.2"/>
    <row r="80" s="17" customFormat="1" x14ac:dyDescent="0.2"/>
    <row r="81" s="17" customFormat="1" x14ac:dyDescent="0.2"/>
    <row r="82" s="17" customFormat="1" x14ac:dyDescent="0.2"/>
    <row r="83" s="17" customFormat="1" x14ac:dyDescent="0.2"/>
    <row r="84" s="17" customFormat="1" x14ac:dyDescent="0.2"/>
    <row r="85" s="17" customFormat="1" x14ac:dyDescent="0.2"/>
    <row r="86" s="17" customFormat="1" x14ac:dyDescent="0.2"/>
    <row r="87" s="17" customFormat="1" x14ac:dyDescent="0.2"/>
    <row r="88" s="17" customFormat="1" x14ac:dyDescent="0.2"/>
    <row r="89" s="17" customFormat="1" x14ac:dyDescent="0.2"/>
    <row r="90" s="17" customFormat="1" x14ac:dyDescent="0.2"/>
    <row r="91" s="17" customFormat="1" x14ac:dyDescent="0.2"/>
    <row r="92" s="17" customFormat="1" x14ac:dyDescent="0.2"/>
    <row r="93" s="17" customFormat="1" x14ac:dyDescent="0.2"/>
    <row r="94" s="17" customFormat="1" x14ac:dyDescent="0.2"/>
    <row r="95" s="17" customFormat="1" x14ac:dyDescent="0.2"/>
    <row r="96" s="17" customFormat="1" x14ac:dyDescent="0.2"/>
    <row r="97" s="17" customFormat="1" x14ac:dyDescent="0.2"/>
    <row r="98" s="17" customFormat="1" x14ac:dyDescent="0.2"/>
    <row r="99" s="17" customFormat="1" x14ac:dyDescent="0.2"/>
    <row r="100" s="17" customFormat="1" x14ac:dyDescent="0.2"/>
    <row r="101" s="17" customFormat="1" x14ac:dyDescent="0.2"/>
    <row r="102" s="17" customFormat="1" x14ac:dyDescent="0.2"/>
    <row r="103" s="17" customFormat="1" x14ac:dyDescent="0.2"/>
    <row r="104" s="17" customFormat="1" x14ac:dyDescent="0.2"/>
    <row r="105" s="17" customFormat="1" x14ac:dyDescent="0.2"/>
    <row r="106" s="17" customFormat="1" x14ac:dyDescent="0.2"/>
    <row r="107" s="17" customFormat="1" x14ac:dyDescent="0.2"/>
    <row r="108" s="17" customFormat="1" x14ac:dyDescent="0.2"/>
    <row r="109" s="17" customFormat="1" x14ac:dyDescent="0.2"/>
    <row r="110" s="17" customFormat="1" x14ac:dyDescent="0.2"/>
    <row r="111" s="17" customFormat="1" x14ac:dyDescent="0.2"/>
    <row r="112" s="17" customFormat="1" x14ac:dyDescent="0.2"/>
    <row r="113" s="17" customFormat="1" x14ac:dyDescent="0.2"/>
    <row r="114" s="17" customFormat="1" x14ac:dyDescent="0.2"/>
    <row r="115" s="17" customFormat="1" x14ac:dyDescent="0.2"/>
    <row r="116" s="17" customFormat="1" x14ac:dyDescent="0.2"/>
    <row r="117" s="17" customFormat="1" x14ac:dyDescent="0.2"/>
    <row r="118" s="17" customFormat="1" x14ac:dyDescent="0.2"/>
    <row r="119" s="17" customFormat="1" x14ac:dyDescent="0.2"/>
    <row r="120" s="17" customFormat="1" x14ac:dyDescent="0.2"/>
    <row r="121" s="17" customFormat="1" x14ac:dyDescent="0.2"/>
    <row r="122" s="17" customFormat="1" x14ac:dyDescent="0.2"/>
    <row r="123" s="17" customFormat="1" x14ac:dyDescent="0.2"/>
    <row r="124" s="17" customFormat="1" x14ac:dyDescent="0.2"/>
    <row r="125" s="17" customFormat="1" x14ac:dyDescent="0.2"/>
    <row r="126" s="17" customFormat="1" x14ac:dyDescent="0.2"/>
    <row r="127" s="17" customFormat="1" x14ac:dyDescent="0.2"/>
    <row r="128" s="17" customFormat="1" x14ac:dyDescent="0.2"/>
    <row r="129" s="17" customFormat="1" x14ac:dyDescent="0.2"/>
    <row r="130" s="17" customFormat="1" x14ac:dyDescent="0.2"/>
    <row r="131" s="17" customFormat="1" x14ac:dyDescent="0.2"/>
    <row r="132" s="17" customFormat="1" x14ac:dyDescent="0.2"/>
    <row r="133" s="17" customFormat="1" x14ac:dyDescent="0.2"/>
    <row r="134" s="17" customFormat="1" x14ac:dyDescent="0.2"/>
    <row r="135" s="17" customFormat="1" x14ac:dyDescent="0.2"/>
    <row r="136" s="17" customFormat="1" x14ac:dyDescent="0.2"/>
    <row r="137" s="17" customFormat="1" x14ac:dyDescent="0.2"/>
    <row r="138" s="17" customFormat="1" x14ac:dyDescent="0.2"/>
    <row r="139" s="17" customFormat="1" x14ac:dyDescent="0.2"/>
    <row r="140" s="17" customFormat="1" x14ac:dyDescent="0.2"/>
    <row r="141" s="17" customFormat="1" x14ac:dyDescent="0.2"/>
    <row r="142" s="17" customFormat="1" x14ac:dyDescent="0.2"/>
    <row r="143" s="17" customFormat="1" x14ac:dyDescent="0.2"/>
    <row r="144" s="17" customFormat="1" x14ac:dyDescent="0.2"/>
    <row r="145" s="17" customFormat="1" x14ac:dyDescent="0.2"/>
    <row r="146" s="17" customFormat="1" x14ac:dyDescent="0.2"/>
    <row r="147" s="17" customFormat="1" x14ac:dyDescent="0.2"/>
    <row r="148" s="17" customFormat="1" x14ac:dyDescent="0.2"/>
    <row r="149" s="17" customFormat="1" x14ac:dyDescent="0.2"/>
    <row r="150" s="17" customFormat="1" x14ac:dyDescent="0.2"/>
    <row r="151" s="17" customFormat="1" x14ac:dyDescent="0.2"/>
    <row r="152" s="17" customFormat="1" x14ac:dyDescent="0.2"/>
    <row r="153" s="17" customFormat="1" x14ac:dyDescent="0.2"/>
    <row r="154" s="17" customFormat="1" x14ac:dyDescent="0.2"/>
    <row r="155" s="17" customFormat="1" x14ac:dyDescent="0.2"/>
    <row r="156" s="17" customFormat="1" x14ac:dyDescent="0.2"/>
    <row r="157" s="17" customFormat="1" x14ac:dyDescent="0.2"/>
    <row r="158" s="17" customFormat="1" x14ac:dyDescent="0.2"/>
    <row r="159" s="17" customFormat="1" x14ac:dyDescent="0.2"/>
    <row r="160" s="17" customFormat="1" x14ac:dyDescent="0.2"/>
    <row r="161" s="17" customFormat="1" x14ac:dyDescent="0.2"/>
    <row r="162" s="17" customFormat="1" x14ac:dyDescent="0.2"/>
    <row r="163" s="17" customFormat="1" x14ac:dyDescent="0.2"/>
    <row r="164" s="17" customFormat="1" x14ac:dyDescent="0.2"/>
    <row r="165" s="17" customFormat="1" x14ac:dyDescent="0.2"/>
    <row r="166" s="17" customFormat="1" x14ac:dyDescent="0.2"/>
    <row r="167" s="17" customFormat="1" x14ac:dyDescent="0.2"/>
    <row r="168" s="17" customFormat="1" x14ac:dyDescent="0.2"/>
    <row r="169" s="17" customFormat="1" x14ac:dyDescent="0.2"/>
    <row r="170" s="17" customFormat="1" x14ac:dyDescent="0.2"/>
    <row r="171" s="17" customFormat="1" x14ac:dyDescent="0.2"/>
    <row r="172" s="17" customFormat="1" x14ac:dyDescent="0.2"/>
    <row r="173" s="17" customFormat="1" x14ac:dyDescent="0.2"/>
    <row r="174" s="17" customFormat="1" x14ac:dyDescent="0.2"/>
    <row r="175" s="17" customFormat="1" x14ac:dyDescent="0.2"/>
    <row r="176" s="17" customFormat="1" x14ac:dyDescent="0.2"/>
    <row r="177" s="17" customFormat="1" x14ac:dyDescent="0.2"/>
    <row r="178" s="17" customFormat="1" x14ac:dyDescent="0.2"/>
    <row r="179" s="17" customFormat="1" x14ac:dyDescent="0.2"/>
    <row r="180" s="17" customFormat="1" x14ac:dyDescent="0.2"/>
    <row r="181" s="17" customFormat="1" x14ac:dyDescent="0.2"/>
    <row r="182" s="17" customFormat="1" x14ac:dyDescent="0.2"/>
    <row r="183" s="17" customFormat="1" x14ac:dyDescent="0.2"/>
    <row r="184" s="17" customFormat="1" x14ac:dyDescent="0.2"/>
    <row r="185" s="17" customFormat="1" x14ac:dyDescent="0.2"/>
    <row r="186" s="17" customFormat="1" x14ac:dyDescent="0.2"/>
    <row r="187" s="17" customFormat="1" x14ac:dyDescent="0.2"/>
    <row r="188" s="17" customFormat="1" x14ac:dyDescent="0.2"/>
    <row r="189" s="17" customFormat="1" x14ac:dyDescent="0.2"/>
    <row r="190" s="17" customFormat="1" x14ac:dyDescent="0.2"/>
    <row r="191" s="17" customFormat="1" x14ac:dyDescent="0.2"/>
    <row r="192" s="17" customFormat="1" x14ac:dyDescent="0.2"/>
    <row r="193" s="17" customFormat="1" x14ac:dyDescent="0.2"/>
    <row r="194" s="17" customFormat="1" x14ac:dyDescent="0.2"/>
    <row r="195" s="17" customFormat="1" x14ac:dyDescent="0.2"/>
    <row r="196" s="17" customFormat="1" x14ac:dyDescent="0.2"/>
    <row r="197" s="17" customFormat="1" x14ac:dyDescent="0.2"/>
    <row r="198" s="17" customFormat="1" x14ac:dyDescent="0.2"/>
    <row r="199" s="17" customFormat="1" x14ac:dyDescent="0.2"/>
    <row r="200" s="17" customFormat="1" x14ac:dyDescent="0.2"/>
    <row r="201" s="17" customFormat="1" x14ac:dyDescent="0.2"/>
    <row r="202" s="17" customFormat="1" x14ac:dyDescent="0.2"/>
    <row r="203" s="17" customFormat="1" x14ac:dyDescent="0.2"/>
    <row r="204" s="17" customFormat="1" x14ac:dyDescent="0.2"/>
    <row r="205" s="17" customFormat="1" x14ac:dyDescent="0.2"/>
    <row r="206" s="17" customFormat="1" x14ac:dyDescent="0.2"/>
    <row r="207" s="17" customFormat="1" x14ac:dyDescent="0.2"/>
    <row r="208" s="17" customFormat="1" x14ac:dyDescent="0.2"/>
    <row r="209" s="17" customFormat="1" x14ac:dyDescent="0.2"/>
    <row r="210" s="17" customFormat="1" x14ac:dyDescent="0.2"/>
    <row r="211" s="17" customFormat="1" x14ac:dyDescent="0.2"/>
    <row r="212" s="17" customFormat="1" x14ac:dyDescent="0.2"/>
    <row r="213" s="17" customFormat="1" x14ac:dyDescent="0.2"/>
    <row r="214" s="17" customFormat="1" x14ac:dyDescent="0.2"/>
    <row r="215" s="17" customFormat="1" x14ac:dyDescent="0.2"/>
    <row r="216" s="17" customFormat="1" x14ac:dyDescent="0.2"/>
    <row r="217" s="17" customFormat="1" x14ac:dyDescent="0.2"/>
    <row r="218" s="17" customFormat="1" x14ac:dyDescent="0.2"/>
    <row r="219" s="17" customFormat="1" x14ac:dyDescent="0.2"/>
    <row r="220" s="17" customFormat="1" x14ac:dyDescent="0.2"/>
    <row r="221" s="17" customFormat="1" x14ac:dyDescent="0.2"/>
    <row r="222" s="17" customFormat="1" x14ac:dyDescent="0.2"/>
    <row r="223" s="17" customFormat="1" x14ac:dyDescent="0.2"/>
    <row r="224" s="17" customFormat="1" x14ac:dyDescent="0.2"/>
    <row r="225" s="17" customFormat="1" x14ac:dyDescent="0.2"/>
    <row r="226" s="17" customFormat="1" x14ac:dyDescent="0.2"/>
    <row r="227" s="17" customFormat="1" x14ac:dyDescent="0.2"/>
    <row r="228" s="17" customFormat="1" x14ac:dyDescent="0.2"/>
    <row r="229" s="17" customFormat="1" x14ac:dyDescent="0.2"/>
    <row r="230" s="17" customFormat="1" x14ac:dyDescent="0.2"/>
    <row r="231" s="17" customFormat="1" x14ac:dyDescent="0.2"/>
    <row r="232" s="17" customFormat="1" x14ac:dyDescent="0.2"/>
    <row r="233" s="17" customFormat="1" x14ac:dyDescent="0.2"/>
    <row r="234" s="17" customFormat="1" x14ac:dyDescent="0.2"/>
    <row r="235" s="17" customFormat="1" x14ac:dyDescent="0.2"/>
    <row r="236" s="17" customFormat="1" x14ac:dyDescent="0.2"/>
    <row r="237" s="17" customFormat="1" x14ac:dyDescent="0.2"/>
    <row r="238" s="17" customFormat="1" x14ac:dyDescent="0.2"/>
    <row r="239" s="17" customFormat="1" x14ac:dyDescent="0.2"/>
    <row r="240" s="17" customFormat="1" x14ac:dyDescent="0.2"/>
    <row r="241" s="17" customFormat="1" x14ac:dyDescent="0.2"/>
    <row r="242" s="17" customFormat="1" x14ac:dyDescent="0.2"/>
    <row r="243" s="17" customFormat="1" x14ac:dyDescent="0.2"/>
    <row r="244" s="17" customFormat="1" x14ac:dyDescent="0.2"/>
    <row r="245" s="17" customFormat="1" x14ac:dyDescent="0.2"/>
    <row r="246" s="17" customFormat="1" x14ac:dyDescent="0.2"/>
    <row r="247" s="17" customFormat="1" x14ac:dyDescent="0.2"/>
    <row r="248" s="17" customFormat="1" x14ac:dyDescent="0.2"/>
    <row r="249" s="17" customFormat="1" x14ac:dyDescent="0.2"/>
    <row r="250" s="17" customFormat="1" x14ac:dyDescent="0.2"/>
    <row r="251" s="17" customFormat="1" x14ac:dyDescent="0.2"/>
    <row r="252" s="17" customFormat="1" x14ac:dyDescent="0.2"/>
    <row r="253" s="17" customFormat="1" x14ac:dyDescent="0.2"/>
    <row r="254" s="17" customFormat="1" x14ac:dyDescent="0.2"/>
    <row r="255" s="17" customFormat="1" x14ac:dyDescent="0.2"/>
    <row r="256" s="17" customFormat="1" x14ac:dyDescent="0.2"/>
    <row r="257" s="17" customFormat="1" x14ac:dyDescent="0.2"/>
    <row r="258" s="17" customFormat="1" x14ac:dyDescent="0.2"/>
    <row r="259" s="17" customFormat="1" x14ac:dyDescent="0.2"/>
    <row r="260" s="17" customFormat="1" x14ac:dyDescent="0.2"/>
    <row r="261" s="17" customFormat="1" x14ac:dyDescent="0.2"/>
    <row r="262" s="17" customFormat="1" x14ac:dyDescent="0.2"/>
    <row r="263" s="17" customFormat="1" x14ac:dyDescent="0.2"/>
    <row r="264" s="17" customFormat="1" x14ac:dyDescent="0.2"/>
    <row r="265" s="17" customFormat="1" x14ac:dyDescent="0.2"/>
  </sheetData>
  <mergeCells count="12">
    <mergeCell ref="R3:S3"/>
    <mergeCell ref="A1:U1"/>
    <mergeCell ref="T3:U3"/>
    <mergeCell ref="D3:E3"/>
    <mergeCell ref="F3:G3"/>
    <mergeCell ref="H3:I3"/>
    <mergeCell ref="J3:K3"/>
    <mergeCell ref="L3:M3"/>
    <mergeCell ref="N3:O3"/>
    <mergeCell ref="A3:A4"/>
    <mergeCell ref="B3:C3"/>
    <mergeCell ref="P3:Q3"/>
  </mergeCells>
  <phoneticPr fontId="0" type="noConversion"/>
  <pageMargins left="1.36" right="0.71" top="1.1811023622047245" bottom="0.51181102362204722" header="0" footer="0"/>
  <pageSetup scale="81"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249977111117893"/>
  </sheetPr>
  <dimension ref="A1:CN257"/>
  <sheetViews>
    <sheetView showGridLines="0" zoomScaleNormal="100" workbookViewId="0">
      <pane xSplit="3" ySplit="5" topLeftCell="H6" activePane="bottomRight" state="frozen"/>
      <selection pane="topRight" activeCell="D1" sqref="D1"/>
      <selection pane="bottomLeft" activeCell="A6" sqref="A6"/>
      <selection pane="bottomRight" activeCell="H4" sqref="H4:I4"/>
    </sheetView>
  </sheetViews>
  <sheetFormatPr baseColWidth="10" defaultColWidth="15" defaultRowHeight="12" x14ac:dyDescent="0.2"/>
  <cols>
    <col min="1" max="1" width="51.42578125" style="129" customWidth="1"/>
    <col min="2" max="2" width="17.7109375" style="9" bestFit="1" customWidth="1"/>
    <col min="3" max="3" width="21.85546875" style="9" customWidth="1"/>
    <col min="4" max="4" width="17.42578125" style="9" customWidth="1"/>
    <col min="5" max="5" width="18.42578125" style="9" customWidth="1"/>
    <col min="6" max="6" width="17.42578125" style="9" customWidth="1"/>
    <col min="7" max="7" width="18" style="9" customWidth="1"/>
    <col min="8" max="8" width="19" style="9" customWidth="1"/>
    <col min="9" max="9" width="20" style="9" customWidth="1"/>
    <col min="10" max="10" width="18.42578125" style="9" customWidth="1"/>
    <col min="11" max="11" width="16.42578125" style="9" customWidth="1"/>
    <col min="12" max="12" width="19.28515625" style="9" customWidth="1"/>
    <col min="13" max="13" width="20.7109375" style="9" customWidth="1"/>
    <col min="14" max="14" width="15.85546875" style="9" customWidth="1"/>
    <col min="15" max="15" width="17.42578125" style="9" customWidth="1"/>
    <col min="16" max="16" width="8.28515625" style="9" bestFit="1" customWidth="1"/>
    <col min="17" max="16384" width="15" style="9"/>
  </cols>
  <sheetData>
    <row r="1" spans="1:91" s="81" customFormat="1" ht="27" customHeight="1" x14ac:dyDescent="0.2">
      <c r="A1" s="81" t="s">
        <v>110</v>
      </c>
      <c r="BT1" s="10"/>
      <c r="BU1" s="10"/>
    </row>
    <row r="2" spans="1:91" ht="23.1" customHeight="1" x14ac:dyDescent="0.2">
      <c r="A2" s="252" t="s">
        <v>15</v>
      </c>
      <c r="B2" s="253"/>
      <c r="C2" s="253"/>
      <c r="D2" s="253"/>
      <c r="E2" s="253"/>
      <c r="F2" s="253"/>
      <c r="G2" s="253"/>
      <c r="H2" s="253"/>
      <c r="I2" s="253"/>
      <c r="J2" s="253"/>
      <c r="K2" s="253"/>
      <c r="L2" s="253"/>
      <c r="M2" s="253"/>
      <c r="N2" s="253"/>
      <c r="O2" s="254"/>
      <c r="BT2" s="8"/>
      <c r="BU2" s="8"/>
    </row>
    <row r="3" spans="1:91" s="81" customFormat="1" ht="27.75" customHeight="1" x14ac:dyDescent="0.2">
      <c r="A3" s="81" t="s">
        <v>35</v>
      </c>
      <c r="BT3" s="10"/>
      <c r="BU3" s="10"/>
    </row>
    <row r="4" spans="1:91" s="114" customFormat="1" ht="40.5" customHeight="1" x14ac:dyDescent="0.2">
      <c r="A4" s="236" t="s">
        <v>36</v>
      </c>
      <c r="B4" s="242" t="s">
        <v>93</v>
      </c>
      <c r="C4" s="244"/>
      <c r="D4" s="244" t="s">
        <v>111</v>
      </c>
      <c r="E4" s="244"/>
      <c r="F4" s="244" t="s">
        <v>112</v>
      </c>
      <c r="G4" s="244"/>
      <c r="H4" s="260" t="s">
        <v>113</v>
      </c>
      <c r="I4" s="260"/>
      <c r="J4" s="260" t="s">
        <v>114</v>
      </c>
      <c r="K4" s="260"/>
      <c r="L4" s="244" t="s">
        <v>115</v>
      </c>
      <c r="M4" s="244"/>
      <c r="N4" s="244" t="s">
        <v>116</v>
      </c>
      <c r="O4" s="244"/>
      <c r="P4" s="251"/>
      <c r="Q4" s="251"/>
      <c r="R4" s="251"/>
      <c r="S4" s="251"/>
      <c r="T4" s="251"/>
      <c r="U4" s="251"/>
      <c r="V4" s="256"/>
      <c r="W4" s="256"/>
      <c r="X4" s="251"/>
      <c r="Y4" s="251"/>
      <c r="Z4" s="256"/>
      <c r="AA4" s="256"/>
      <c r="AB4" s="257"/>
      <c r="AC4" s="257"/>
      <c r="AD4" s="251"/>
      <c r="AE4" s="251"/>
      <c r="AF4" s="251"/>
      <c r="AG4" s="251"/>
      <c r="AH4" s="255"/>
      <c r="AI4" s="255"/>
      <c r="AJ4" s="251"/>
      <c r="AK4" s="251"/>
      <c r="AL4" s="255"/>
      <c r="AM4" s="255"/>
      <c r="AN4" s="251"/>
      <c r="AO4" s="251"/>
      <c r="AP4" s="251"/>
      <c r="AQ4" s="251"/>
      <c r="AR4" s="251"/>
      <c r="AS4" s="251"/>
      <c r="AT4" s="251"/>
      <c r="AU4" s="251"/>
      <c r="AV4" s="251"/>
      <c r="AW4" s="251"/>
      <c r="AX4" s="251"/>
      <c r="AY4" s="251"/>
      <c r="AZ4" s="251"/>
      <c r="BA4" s="251"/>
      <c r="BB4" s="255"/>
      <c r="BC4" s="255"/>
      <c r="BD4" s="251"/>
      <c r="BE4" s="251"/>
      <c r="BF4" s="255"/>
      <c r="BG4" s="255"/>
      <c r="BH4" s="251"/>
      <c r="BI4" s="251"/>
      <c r="BJ4" s="251"/>
      <c r="BK4" s="251"/>
      <c r="BL4" s="251"/>
      <c r="BM4" s="251"/>
      <c r="BN4" s="251"/>
      <c r="BO4" s="251"/>
      <c r="BP4" s="251"/>
      <c r="BQ4" s="251"/>
      <c r="BR4" s="255"/>
      <c r="BS4" s="255"/>
      <c r="BT4" s="251"/>
      <c r="BU4" s="251"/>
      <c r="BV4" s="251"/>
      <c r="BW4" s="251"/>
      <c r="BX4" s="251"/>
      <c r="BY4" s="251"/>
      <c r="BZ4" s="251"/>
      <c r="CA4" s="251"/>
      <c r="CB4" s="251"/>
      <c r="CC4" s="251"/>
      <c r="CD4" s="251"/>
      <c r="CE4" s="251"/>
      <c r="CF4" s="251"/>
      <c r="CG4" s="251"/>
      <c r="CH4" s="251"/>
      <c r="CI4" s="251"/>
      <c r="CJ4" s="251"/>
      <c r="CK4" s="251"/>
      <c r="CL4" s="251"/>
      <c r="CM4" s="251"/>
    </row>
    <row r="5" spans="1:91" s="114" customFormat="1" ht="20.25" customHeight="1" x14ac:dyDescent="0.2">
      <c r="A5" s="259"/>
      <c r="B5" s="158">
        <v>2021</v>
      </c>
      <c r="C5" s="159">
        <v>2022</v>
      </c>
      <c r="D5" s="159">
        <v>2021</v>
      </c>
      <c r="E5" s="159">
        <v>2022</v>
      </c>
      <c r="F5" s="159">
        <v>2021</v>
      </c>
      <c r="G5" s="159">
        <v>2022</v>
      </c>
      <c r="H5" s="159">
        <v>2021</v>
      </c>
      <c r="I5" s="159">
        <v>2022</v>
      </c>
      <c r="J5" s="159">
        <v>2021</v>
      </c>
      <c r="K5" s="159">
        <v>2022</v>
      </c>
      <c r="L5" s="159">
        <v>2021</v>
      </c>
      <c r="M5" s="159">
        <v>2022</v>
      </c>
      <c r="N5" s="159">
        <v>2021</v>
      </c>
      <c r="O5" s="159">
        <v>2022</v>
      </c>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row>
    <row r="6" spans="1:91" s="126" customFormat="1" ht="19.5" customHeight="1" x14ac:dyDescent="0.2">
      <c r="A6" s="141" t="s">
        <v>117</v>
      </c>
      <c r="B6" s="66"/>
      <c r="C6" s="66"/>
      <c r="D6" s="66"/>
      <c r="E6" s="66"/>
      <c r="F6" s="66"/>
      <c r="G6" s="66"/>
      <c r="H6" s="66"/>
      <c r="I6" s="66"/>
      <c r="J6" s="66"/>
      <c r="K6" s="66"/>
      <c r="L6" s="66"/>
      <c r="M6" s="66"/>
      <c r="N6" s="66"/>
      <c r="O6" s="66"/>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row>
    <row r="7" spans="1:91" s="126" customFormat="1" ht="19.5" customHeight="1" x14ac:dyDescent="0.2">
      <c r="A7" s="160" t="s">
        <v>40</v>
      </c>
      <c r="B7" s="66"/>
      <c r="C7" s="66"/>
      <c r="D7" s="66"/>
      <c r="E7" s="66"/>
      <c r="F7" s="66"/>
      <c r="G7" s="66"/>
      <c r="H7" s="66"/>
      <c r="I7" s="66"/>
      <c r="J7" s="66"/>
      <c r="K7" s="66"/>
      <c r="L7" s="215"/>
      <c r="M7" s="215"/>
      <c r="N7" s="66"/>
      <c r="O7" s="6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row>
    <row r="8" spans="1:91" ht="19.5" customHeight="1" x14ac:dyDescent="0.2">
      <c r="A8" s="87" t="s">
        <v>41</v>
      </c>
      <c r="B8" s="211">
        <f>+D8+F8+H8+J8+L8+N8</f>
        <v>105013716962</v>
      </c>
      <c r="C8" s="211">
        <f>+E8+G8+I8+K8+M8+O8</f>
        <v>96505957309</v>
      </c>
      <c r="D8" s="211">
        <v>53695125179</v>
      </c>
      <c r="E8" s="211">
        <v>32670695494</v>
      </c>
      <c r="F8" s="211">
        <v>3246723512</v>
      </c>
      <c r="G8" s="211">
        <v>5529238894</v>
      </c>
      <c r="H8" s="211">
        <v>12080158900</v>
      </c>
      <c r="I8" s="211">
        <v>18014805186</v>
      </c>
      <c r="J8" s="211">
        <v>1437916450</v>
      </c>
      <c r="K8" s="211">
        <v>2528323057</v>
      </c>
      <c r="L8" s="211">
        <v>32736437156</v>
      </c>
      <c r="M8" s="211">
        <v>36695673598</v>
      </c>
      <c r="N8" s="211">
        <v>1817355765</v>
      </c>
      <c r="O8" s="211">
        <v>1067221080</v>
      </c>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row>
    <row r="9" spans="1:91" ht="19.5" customHeight="1" x14ac:dyDescent="0.2">
      <c r="A9" s="87" t="s">
        <v>42</v>
      </c>
      <c r="B9" s="211">
        <f>+D9+F9+H9+J9+L9+N9</f>
        <v>104900874077</v>
      </c>
      <c r="C9" s="211">
        <f>+E9+G9+I9+K9+M9+O9</f>
        <v>112739789819</v>
      </c>
      <c r="D9" s="211">
        <f>6476409483+1</f>
        <v>6476409484</v>
      </c>
      <c r="E9" s="211">
        <v>5733852179</v>
      </c>
      <c r="F9" s="211">
        <v>7954793048</v>
      </c>
      <c r="G9" s="211">
        <v>6439669105</v>
      </c>
      <c r="H9" s="211">
        <v>31317198741</v>
      </c>
      <c r="I9" s="211">
        <v>39607641642</v>
      </c>
      <c r="J9" s="211">
        <v>478376423</v>
      </c>
      <c r="K9" s="211">
        <v>536910300</v>
      </c>
      <c r="L9" s="211">
        <v>57845661099</v>
      </c>
      <c r="M9" s="211">
        <v>58824592796</v>
      </c>
      <c r="N9" s="211">
        <v>828435282</v>
      </c>
      <c r="O9" s="211">
        <v>1597123797</v>
      </c>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row>
    <row r="10" spans="1:91" s="126" customFormat="1" ht="19.5" customHeight="1" x14ac:dyDescent="0.2">
      <c r="A10" s="42" t="s">
        <v>43</v>
      </c>
      <c r="B10" s="216">
        <f>+B8+B9</f>
        <v>209914591039</v>
      </c>
      <c r="C10" s="216">
        <f>+C8+C9</f>
        <v>209245747128</v>
      </c>
      <c r="D10" s="216">
        <f t="shared" ref="D10:O10" si="0">+D8+D9</f>
        <v>60171534663</v>
      </c>
      <c r="E10" s="216">
        <f t="shared" si="0"/>
        <v>38404547673</v>
      </c>
      <c r="F10" s="216">
        <f t="shared" si="0"/>
        <v>11201516560</v>
      </c>
      <c r="G10" s="216">
        <f t="shared" si="0"/>
        <v>11968907999</v>
      </c>
      <c r="H10" s="216">
        <f t="shared" si="0"/>
        <v>43397357641</v>
      </c>
      <c r="I10" s="216">
        <f t="shared" si="0"/>
        <v>57622446828</v>
      </c>
      <c r="J10" s="216">
        <f t="shared" si="0"/>
        <v>1916292873</v>
      </c>
      <c r="K10" s="216">
        <f t="shared" si="0"/>
        <v>3065233357</v>
      </c>
      <c r="L10" s="216">
        <f>+L8+L9</f>
        <v>90582098255</v>
      </c>
      <c r="M10" s="216">
        <f>+M8+M9</f>
        <v>95520266394</v>
      </c>
      <c r="N10" s="216">
        <f t="shared" si="0"/>
        <v>2645791047</v>
      </c>
      <c r="O10" s="216">
        <f t="shared" si="0"/>
        <v>2664344877</v>
      </c>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row>
    <row r="11" spans="1:91" ht="19.5" customHeight="1" x14ac:dyDescent="0.2">
      <c r="A11" s="160" t="s">
        <v>44</v>
      </c>
      <c r="B11" s="211"/>
      <c r="C11" s="211"/>
      <c r="D11" s="211"/>
      <c r="E11" s="211"/>
      <c r="F11" s="211"/>
      <c r="G11" s="211"/>
      <c r="H11" s="211"/>
      <c r="I11" s="211"/>
      <c r="J11" s="211"/>
      <c r="K11" s="211"/>
      <c r="L11" s="211"/>
      <c r="M11" s="211"/>
      <c r="N11" s="211"/>
      <c r="O11" s="211"/>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row>
    <row r="12" spans="1:91" ht="19.5" customHeight="1" x14ac:dyDescent="0.2">
      <c r="A12" s="87" t="s">
        <v>45</v>
      </c>
      <c r="B12" s="211">
        <f>+D12+F12+H12+J12+L12+N12</f>
        <v>91609771670</v>
      </c>
      <c r="C12" s="211">
        <f>+E12+G12+I12+K12+M12+O12</f>
        <v>101982188592</v>
      </c>
      <c r="D12" s="211">
        <v>45236739842</v>
      </c>
      <c r="E12" s="211">
        <v>21028443758</v>
      </c>
      <c r="F12" s="211">
        <v>3116668925</v>
      </c>
      <c r="G12" s="211">
        <v>4535216182</v>
      </c>
      <c r="H12" s="211">
        <v>12444196251</v>
      </c>
      <c r="I12" s="211">
        <v>14760698442</v>
      </c>
      <c r="J12" s="211">
        <v>1422891555</v>
      </c>
      <c r="K12" s="211">
        <v>2531986508</v>
      </c>
      <c r="L12" s="211">
        <v>27763106824</v>
      </c>
      <c r="M12" s="211">
        <v>58338687076</v>
      </c>
      <c r="N12" s="211">
        <v>1626168273</v>
      </c>
      <c r="O12" s="211">
        <v>787156626</v>
      </c>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row>
    <row r="13" spans="1:91" ht="19.5" customHeight="1" x14ac:dyDescent="0.2">
      <c r="A13" s="161" t="s">
        <v>46</v>
      </c>
      <c r="B13" s="211">
        <f>+D13+F13+H13+J13+L13+N13</f>
        <v>38937647783</v>
      </c>
      <c r="C13" s="211">
        <f>+E13+G13+I13+K13+M13+O13</f>
        <v>48068194531</v>
      </c>
      <c r="D13" s="211">
        <v>1878903569</v>
      </c>
      <c r="E13" s="211">
        <v>574310843</v>
      </c>
      <c r="F13" s="211">
        <v>6540339941</v>
      </c>
      <c r="G13" s="211">
        <v>6557836671</v>
      </c>
      <c r="H13" s="211">
        <v>22529703815</v>
      </c>
      <c r="I13" s="211">
        <v>34114268820</v>
      </c>
      <c r="J13" s="211">
        <v>925178</v>
      </c>
      <c r="K13" s="211">
        <v>1199975</v>
      </c>
      <c r="L13" s="211">
        <v>7726955952</v>
      </c>
      <c r="M13" s="211">
        <v>6033537866</v>
      </c>
      <c r="N13" s="211">
        <v>260819328</v>
      </c>
      <c r="O13" s="211">
        <v>787040356</v>
      </c>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row>
    <row r="14" spans="1:91" s="126" customFormat="1" ht="19.5" customHeight="1" x14ac:dyDescent="0.2">
      <c r="A14" s="42" t="s">
        <v>47</v>
      </c>
      <c r="B14" s="216">
        <f>+B12+B13</f>
        <v>130547419453</v>
      </c>
      <c r="C14" s="216">
        <f>+C12+C13</f>
        <v>150050383123</v>
      </c>
      <c r="D14" s="216">
        <f t="shared" ref="D14:O14" si="1">+D12+D13</f>
        <v>47115643411</v>
      </c>
      <c r="E14" s="216">
        <f t="shared" si="1"/>
        <v>21602754601</v>
      </c>
      <c r="F14" s="216">
        <f t="shared" si="1"/>
        <v>9657008866</v>
      </c>
      <c r="G14" s="216">
        <f t="shared" si="1"/>
        <v>11093052853</v>
      </c>
      <c r="H14" s="216">
        <f t="shared" si="1"/>
        <v>34973900066</v>
      </c>
      <c r="I14" s="216">
        <f t="shared" si="1"/>
        <v>48874967262</v>
      </c>
      <c r="J14" s="216">
        <f t="shared" si="1"/>
        <v>1423816733</v>
      </c>
      <c r="K14" s="216">
        <f t="shared" si="1"/>
        <v>2533186483</v>
      </c>
      <c r="L14" s="216">
        <f>+L12+L13</f>
        <v>35490062776</v>
      </c>
      <c r="M14" s="216">
        <f>+M12+M13</f>
        <v>64372224942</v>
      </c>
      <c r="N14" s="216">
        <f t="shared" si="1"/>
        <v>1886987601</v>
      </c>
      <c r="O14" s="216">
        <f t="shared" si="1"/>
        <v>1574196982</v>
      </c>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row>
    <row r="15" spans="1:91" ht="19.5" customHeight="1" x14ac:dyDescent="0.2">
      <c r="A15" s="160" t="s">
        <v>48</v>
      </c>
      <c r="B15" s="211"/>
      <c r="C15" s="211"/>
      <c r="D15" s="211"/>
      <c r="E15" s="211"/>
      <c r="F15" s="211"/>
      <c r="G15" s="211"/>
      <c r="H15" s="211"/>
      <c r="I15" s="211"/>
      <c r="J15" s="211"/>
      <c r="K15" s="211"/>
      <c r="L15" s="211"/>
      <c r="M15" s="211"/>
      <c r="N15" s="211"/>
      <c r="O15" s="211"/>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7"/>
      <c r="BY15" s="127"/>
      <c r="BZ15" s="127"/>
      <c r="CA15" s="127"/>
      <c r="CB15" s="127"/>
      <c r="CC15" s="127"/>
      <c r="CD15" s="127"/>
      <c r="CE15" s="127"/>
      <c r="CF15" s="127"/>
      <c r="CG15" s="127"/>
      <c r="CH15" s="127"/>
      <c r="CI15" s="127"/>
      <c r="CJ15" s="127"/>
      <c r="CK15" s="127"/>
      <c r="CL15" s="127"/>
      <c r="CM15" s="127"/>
    </row>
    <row r="16" spans="1:91" ht="19.5" customHeight="1" x14ac:dyDescent="0.2">
      <c r="A16" s="87" t="s">
        <v>49</v>
      </c>
      <c r="B16" s="211">
        <f>+D16+F16+H16+J16+L16+N16</f>
        <v>21636311086</v>
      </c>
      <c r="C16" s="211">
        <f>+E16+G16+I16+K16+M16+O16</f>
        <v>21636311086</v>
      </c>
      <c r="D16" s="211">
        <v>2300000000</v>
      </c>
      <c r="E16" s="211">
        <v>2300000000</v>
      </c>
      <c r="F16" s="211">
        <v>209000000</v>
      </c>
      <c r="G16" s="211">
        <v>209000000</v>
      </c>
      <c r="H16" s="211">
        <v>6000000000</v>
      </c>
      <c r="I16" s="211">
        <v>6000000000</v>
      </c>
      <c r="J16" s="211">
        <v>1861785</v>
      </c>
      <c r="K16" s="211">
        <v>1861785</v>
      </c>
      <c r="L16" s="211">
        <v>12942608000</v>
      </c>
      <c r="M16" s="211">
        <v>12942608000</v>
      </c>
      <c r="N16" s="211">
        <v>182841301</v>
      </c>
      <c r="O16" s="211">
        <v>182841301</v>
      </c>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row>
    <row r="17" spans="1:91" ht="19.5" customHeight="1" x14ac:dyDescent="0.2">
      <c r="A17" s="87" t="s">
        <v>50</v>
      </c>
      <c r="B17" s="211">
        <f t="shared" ref="B17:B25" si="2">+D17+F17+H17+J17+L17+N17</f>
        <v>11631093562</v>
      </c>
      <c r="C17" s="211">
        <f t="shared" ref="C17:C25" si="3">+E17+G17+I17+K17+M17+O17</f>
        <v>12315871144</v>
      </c>
      <c r="D17" s="211">
        <v>1022290162</v>
      </c>
      <c r="E17" s="211">
        <v>1315882741</v>
      </c>
      <c r="F17" s="211">
        <v>174651250</v>
      </c>
      <c r="G17" s="211">
        <v>174651250</v>
      </c>
      <c r="H17" s="211">
        <v>94054947</v>
      </c>
      <c r="I17" s="211">
        <v>124791456</v>
      </c>
      <c r="J17" s="211">
        <v>1116065</v>
      </c>
      <c r="K17" s="211">
        <v>1116065</v>
      </c>
      <c r="L17" s="211">
        <v>10273360366</v>
      </c>
      <c r="M17" s="211">
        <v>10633808860</v>
      </c>
      <c r="N17" s="211">
        <v>65620772</v>
      </c>
      <c r="O17" s="211">
        <v>65620772</v>
      </c>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row>
    <row r="18" spans="1:91" ht="19.5" customHeight="1" x14ac:dyDescent="0.2">
      <c r="A18" s="87" t="s">
        <v>51</v>
      </c>
      <c r="B18" s="211">
        <f t="shared" si="2"/>
        <v>444310567</v>
      </c>
      <c r="C18" s="211">
        <f t="shared" si="3"/>
        <v>739148520</v>
      </c>
      <c r="D18" s="211"/>
      <c r="E18" s="211"/>
      <c r="F18" s="211"/>
      <c r="G18" s="211"/>
      <c r="H18" s="211"/>
      <c r="I18" s="211"/>
      <c r="J18" s="211">
        <v>39471973</v>
      </c>
      <c r="K18" s="211">
        <v>120585832</v>
      </c>
      <c r="L18" s="211"/>
      <c r="M18" s="211"/>
      <c r="N18" s="211">
        <v>404838594</v>
      </c>
      <c r="O18" s="211">
        <v>618562688</v>
      </c>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row>
    <row r="19" spans="1:91" ht="19.5" customHeight="1" x14ac:dyDescent="0.2">
      <c r="A19" s="87" t="s">
        <v>52</v>
      </c>
      <c r="B19" s="211">
        <f t="shared" si="2"/>
        <v>8713829770</v>
      </c>
      <c r="C19" s="211">
        <f t="shared" si="3"/>
        <v>8713829770</v>
      </c>
      <c r="D19" s="211"/>
      <c r="E19" s="211"/>
      <c r="F19" s="211"/>
      <c r="G19" s="211"/>
      <c r="H19" s="211"/>
      <c r="I19" s="211"/>
      <c r="J19" s="211">
        <v>689124740</v>
      </c>
      <c r="K19" s="211">
        <v>689124740</v>
      </c>
      <c r="L19" s="211">
        <v>8000000000</v>
      </c>
      <c r="M19" s="211">
        <v>8000000000</v>
      </c>
      <c r="N19" s="211">
        <v>24705030</v>
      </c>
      <c r="O19" s="211">
        <v>24705030</v>
      </c>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row>
    <row r="20" spans="1:91" ht="19.5" customHeight="1" x14ac:dyDescent="0.2">
      <c r="A20" s="87" t="s">
        <v>53</v>
      </c>
      <c r="B20" s="211">
        <f t="shared" si="2"/>
        <v>77906</v>
      </c>
      <c r="C20" s="211">
        <f t="shared" si="3"/>
        <v>77906</v>
      </c>
      <c r="D20" s="211"/>
      <c r="E20" s="211"/>
      <c r="F20" s="211"/>
      <c r="G20" s="211"/>
      <c r="H20" s="211">
        <v>77906</v>
      </c>
      <c r="I20" s="211">
        <v>77906</v>
      </c>
      <c r="J20" s="211"/>
      <c r="K20" s="211"/>
      <c r="L20" s="211"/>
      <c r="M20" s="211"/>
      <c r="N20" s="211"/>
      <c r="O20" s="211"/>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row>
    <row r="21" spans="1:91" ht="19.5" customHeight="1" x14ac:dyDescent="0.2">
      <c r="A21" s="87" t="s">
        <v>54</v>
      </c>
      <c r="B21" s="211">
        <f t="shared" si="2"/>
        <v>2183101802</v>
      </c>
      <c r="C21" s="211">
        <f t="shared" si="3"/>
        <v>-19897476039</v>
      </c>
      <c r="D21" s="211">
        <v>2935925788</v>
      </c>
      <c r="E21" s="211">
        <f t="shared" ref="E21:K21" si="4">+E36</f>
        <v>3745901820</v>
      </c>
      <c r="F21" s="45">
        <f t="shared" si="4"/>
        <v>-390616305</v>
      </c>
      <c r="G21" s="45">
        <f t="shared" si="4"/>
        <v>-668652550</v>
      </c>
      <c r="H21" s="211">
        <f t="shared" si="4"/>
        <v>307365160</v>
      </c>
      <c r="I21" s="211">
        <f t="shared" si="4"/>
        <v>324021992</v>
      </c>
      <c r="J21" s="45">
        <f t="shared" si="4"/>
        <v>-196816574</v>
      </c>
      <c r="K21" s="45">
        <f t="shared" si="4"/>
        <v>-41510513</v>
      </c>
      <c r="L21" s="211">
        <v>4484940</v>
      </c>
      <c r="M21" s="211">
        <v>-23381106067</v>
      </c>
      <c r="N21" s="45">
        <f>+N36</f>
        <v>-477241207</v>
      </c>
      <c r="O21" s="211">
        <f>+O36</f>
        <v>123869279</v>
      </c>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row>
    <row r="22" spans="1:91" ht="19.5" customHeight="1" x14ac:dyDescent="0.2">
      <c r="A22" s="87" t="s">
        <v>55</v>
      </c>
      <c r="B22" s="211">
        <f t="shared" si="2"/>
        <v>34229964251</v>
      </c>
      <c r="C22" s="211">
        <f t="shared" si="3"/>
        <v>35165367900</v>
      </c>
      <c r="D22" s="211">
        <v>7401628704</v>
      </c>
      <c r="E22" s="211">
        <v>10043961913</v>
      </c>
      <c r="F22" s="211">
        <v>1338772749</v>
      </c>
      <c r="G22" s="211">
        <v>948156446</v>
      </c>
      <c r="H22" s="211">
        <v>1095397722</v>
      </c>
      <c r="I22" s="211">
        <v>1372026372</v>
      </c>
      <c r="J22" s="45">
        <v>-42281849</v>
      </c>
      <c r="K22" s="45">
        <v>-239131035</v>
      </c>
      <c r="L22" s="211">
        <v>23871582173</v>
      </c>
      <c r="M22" s="211">
        <v>22952730659</v>
      </c>
      <c r="N22" s="211">
        <v>564864752</v>
      </c>
      <c r="O22" s="211">
        <v>87623545</v>
      </c>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row>
    <row r="23" spans="1:91" ht="19.5" customHeight="1" x14ac:dyDescent="0.2">
      <c r="A23" s="87" t="s">
        <v>56</v>
      </c>
      <c r="B23" s="211">
        <f t="shared" si="2"/>
        <v>352596044</v>
      </c>
      <c r="C23" s="211">
        <f t="shared" si="3"/>
        <v>352596044</v>
      </c>
      <c r="D23" s="45">
        <v>-573965796</v>
      </c>
      <c r="E23" s="45">
        <v>-573965796</v>
      </c>
      <c r="F23" s="211"/>
      <c r="G23" s="211"/>
      <c r="H23" s="211">
        <v>926561840</v>
      </c>
      <c r="I23" s="211">
        <v>926561840</v>
      </c>
      <c r="J23" s="211"/>
      <c r="K23" s="211"/>
      <c r="L23" s="211"/>
      <c r="M23" s="211"/>
      <c r="N23" s="211"/>
      <c r="O23" s="211"/>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row>
    <row r="24" spans="1:91" s="129" customFormat="1" ht="19.5" customHeight="1" x14ac:dyDescent="0.2">
      <c r="A24" s="87" t="s">
        <v>57</v>
      </c>
      <c r="B24" s="211">
        <f t="shared" si="2"/>
        <v>212700000</v>
      </c>
      <c r="C24" s="211">
        <f t="shared" si="3"/>
        <v>212700000</v>
      </c>
      <c r="D24" s="211"/>
      <c r="E24" s="211"/>
      <c r="F24" s="211">
        <v>212700000</v>
      </c>
      <c r="G24" s="211">
        <v>212700000</v>
      </c>
      <c r="H24" s="211"/>
      <c r="I24" s="211"/>
      <c r="J24" s="211"/>
      <c r="K24" s="211"/>
      <c r="L24" s="211"/>
      <c r="M24" s="211"/>
      <c r="N24" s="211"/>
      <c r="O24" s="211"/>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8"/>
      <c r="BI24" s="128"/>
      <c r="BJ24" s="128"/>
      <c r="BK24" s="128"/>
      <c r="BL24" s="128"/>
      <c r="BM24" s="128"/>
      <c r="BN24" s="128"/>
      <c r="BO24" s="128"/>
      <c r="BP24" s="128"/>
      <c r="BQ24" s="128"/>
      <c r="BR24" s="128"/>
      <c r="BS24" s="128"/>
      <c r="BT24" s="128"/>
      <c r="BU24" s="128"/>
      <c r="BV24" s="128"/>
      <c r="BW24" s="128"/>
      <c r="BX24" s="128"/>
      <c r="BY24" s="128"/>
      <c r="BZ24" s="128"/>
      <c r="CA24" s="128"/>
      <c r="CB24" s="128"/>
      <c r="CC24" s="128"/>
      <c r="CD24" s="128"/>
      <c r="CE24" s="128"/>
      <c r="CF24" s="128"/>
      <c r="CG24" s="128"/>
      <c r="CH24" s="128"/>
      <c r="CI24" s="128"/>
      <c r="CJ24" s="128"/>
      <c r="CK24" s="128"/>
      <c r="CL24" s="128"/>
      <c r="CM24" s="128"/>
    </row>
    <row r="25" spans="1:91" s="129" customFormat="1" ht="19.5" customHeight="1" x14ac:dyDescent="0.2">
      <c r="A25" s="87" t="s">
        <v>58</v>
      </c>
      <c r="B25" s="211">
        <f t="shared" si="2"/>
        <v>-36813402</v>
      </c>
      <c r="C25" s="211">
        <f t="shared" si="3"/>
        <v>-43062326</v>
      </c>
      <c r="D25" s="45">
        <v>-29987606</v>
      </c>
      <c r="E25" s="45">
        <v>-29987606</v>
      </c>
      <c r="F25" s="211"/>
      <c r="G25" s="211"/>
      <c r="H25" s="211"/>
      <c r="I25" s="211"/>
      <c r="J25" s="211"/>
      <c r="K25" s="211"/>
      <c r="L25" s="211"/>
      <c r="M25" s="211"/>
      <c r="N25" s="45">
        <v>-6825796</v>
      </c>
      <c r="O25" s="45">
        <v>-13074720</v>
      </c>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c r="BI25" s="128"/>
      <c r="BJ25" s="128"/>
      <c r="BK25" s="128"/>
      <c r="BL25" s="128"/>
      <c r="BM25" s="128"/>
      <c r="BN25" s="128"/>
      <c r="BO25" s="128"/>
      <c r="BP25" s="128"/>
      <c r="BQ25" s="128"/>
      <c r="BR25" s="128"/>
      <c r="BS25" s="128"/>
      <c r="BT25" s="128"/>
      <c r="BU25" s="128"/>
      <c r="BV25" s="128"/>
      <c r="BW25" s="128"/>
      <c r="BX25" s="128"/>
      <c r="BY25" s="128"/>
      <c r="BZ25" s="128"/>
      <c r="CA25" s="128"/>
      <c r="CB25" s="128"/>
      <c r="CC25" s="128"/>
      <c r="CD25" s="128"/>
      <c r="CE25" s="128"/>
      <c r="CF25" s="128"/>
      <c r="CG25" s="128"/>
      <c r="CH25" s="128"/>
      <c r="CI25" s="128"/>
      <c r="CJ25" s="128"/>
      <c r="CK25" s="128"/>
      <c r="CL25" s="128"/>
      <c r="CM25" s="128"/>
    </row>
    <row r="26" spans="1:91" s="114" customFormat="1" ht="19.5" customHeight="1" x14ac:dyDescent="0.2">
      <c r="A26" s="42" t="s">
        <v>59</v>
      </c>
      <c r="B26" s="212">
        <f>SUM(B16:B25)</f>
        <v>79367171586</v>
      </c>
      <c r="C26" s="212">
        <f>SUM(C16:C25)</f>
        <v>59195364005</v>
      </c>
      <c r="D26" s="212">
        <f t="shared" ref="D26:O26" si="5">SUM(D16:D25)</f>
        <v>13055891252</v>
      </c>
      <c r="E26" s="212">
        <f t="shared" si="5"/>
        <v>16801793072</v>
      </c>
      <c r="F26" s="212">
        <f t="shared" si="5"/>
        <v>1544507694</v>
      </c>
      <c r="G26" s="212">
        <f t="shared" si="5"/>
        <v>875855146</v>
      </c>
      <c r="H26" s="212">
        <f t="shared" si="5"/>
        <v>8423457575</v>
      </c>
      <c r="I26" s="212">
        <f t="shared" si="5"/>
        <v>8747479566</v>
      </c>
      <c r="J26" s="212">
        <f t="shared" si="5"/>
        <v>492476140</v>
      </c>
      <c r="K26" s="212">
        <f t="shared" si="5"/>
        <v>532046874</v>
      </c>
      <c r="L26" s="212">
        <f t="shared" si="5"/>
        <v>55092035479</v>
      </c>
      <c r="M26" s="212">
        <f t="shared" si="5"/>
        <v>31148041452</v>
      </c>
      <c r="N26" s="212">
        <f t="shared" si="5"/>
        <v>758803446</v>
      </c>
      <c r="O26" s="212">
        <f t="shared" si="5"/>
        <v>1090147895</v>
      </c>
      <c r="P26" s="128"/>
      <c r="Q26" s="130"/>
      <c r="R26" s="130"/>
      <c r="S26" s="130"/>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c r="BO26" s="131"/>
      <c r="BP26" s="131"/>
      <c r="BQ26" s="131"/>
      <c r="BR26" s="131"/>
      <c r="BS26" s="131"/>
      <c r="BT26" s="131"/>
      <c r="BU26" s="131"/>
      <c r="BV26" s="131"/>
      <c r="BW26" s="131"/>
      <c r="BX26" s="131"/>
      <c r="BY26" s="131"/>
      <c r="BZ26" s="131"/>
      <c r="CA26" s="131"/>
      <c r="CB26" s="131"/>
      <c r="CC26" s="131"/>
      <c r="CD26" s="131"/>
      <c r="CE26" s="131"/>
      <c r="CF26" s="131"/>
      <c r="CG26" s="131"/>
      <c r="CH26" s="131"/>
      <c r="CI26" s="131"/>
      <c r="CJ26" s="131"/>
      <c r="CK26" s="131"/>
      <c r="CL26" s="131"/>
      <c r="CM26" s="131"/>
    </row>
    <row r="27" spans="1:91" s="114" customFormat="1" ht="19.5" customHeight="1" x14ac:dyDescent="0.2">
      <c r="A27" s="42" t="s">
        <v>60</v>
      </c>
      <c r="B27" s="212">
        <f>+B26+B14</f>
        <v>209914591039</v>
      </c>
      <c r="C27" s="212">
        <f>+C26+C14</f>
        <v>209245747128</v>
      </c>
      <c r="D27" s="212">
        <f t="shared" ref="D27:O27" si="6">+D26+D14</f>
        <v>60171534663</v>
      </c>
      <c r="E27" s="212">
        <f t="shared" si="6"/>
        <v>38404547673</v>
      </c>
      <c r="F27" s="212">
        <f t="shared" si="6"/>
        <v>11201516560</v>
      </c>
      <c r="G27" s="212">
        <f t="shared" si="6"/>
        <v>11968907999</v>
      </c>
      <c r="H27" s="212">
        <f t="shared" si="6"/>
        <v>43397357641</v>
      </c>
      <c r="I27" s="212">
        <f t="shared" si="6"/>
        <v>57622446828</v>
      </c>
      <c r="J27" s="212">
        <f t="shared" si="6"/>
        <v>1916292873</v>
      </c>
      <c r="K27" s="212">
        <f t="shared" si="6"/>
        <v>3065233357</v>
      </c>
      <c r="L27" s="212">
        <f t="shared" si="6"/>
        <v>90582098255</v>
      </c>
      <c r="M27" s="212">
        <f>+M26+M14</f>
        <v>95520266394</v>
      </c>
      <c r="N27" s="212">
        <f t="shared" si="6"/>
        <v>2645791047</v>
      </c>
      <c r="O27" s="212">
        <f t="shared" si="6"/>
        <v>2664344877</v>
      </c>
      <c r="P27" s="131"/>
      <c r="Q27" s="131"/>
      <c r="R27" s="131"/>
      <c r="S27" s="130"/>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131"/>
      <c r="BW27" s="131"/>
      <c r="BX27" s="131"/>
      <c r="BY27" s="131"/>
      <c r="BZ27" s="131"/>
      <c r="CA27" s="131"/>
      <c r="CB27" s="131"/>
      <c r="CC27" s="131"/>
      <c r="CD27" s="131"/>
      <c r="CE27" s="131"/>
      <c r="CF27" s="131"/>
      <c r="CG27" s="131"/>
      <c r="CH27" s="131"/>
      <c r="CI27" s="131"/>
      <c r="CJ27" s="131"/>
      <c r="CK27" s="131"/>
      <c r="CL27" s="131"/>
      <c r="CM27" s="131"/>
    </row>
    <row r="28" spans="1:91" s="129" customFormat="1" ht="19.5" customHeight="1" x14ac:dyDescent="0.2">
      <c r="A28" s="38" t="s">
        <v>61</v>
      </c>
      <c r="B28" s="211">
        <f t="shared" ref="B28:C30" si="7">+D28+F28+H28+J28+L28+N28</f>
        <v>396520794719</v>
      </c>
      <c r="C28" s="211">
        <f t="shared" si="7"/>
        <v>467860490015</v>
      </c>
      <c r="D28" s="211">
        <v>147448105619</v>
      </c>
      <c r="E28" s="211">
        <v>179917257011</v>
      </c>
      <c r="F28" s="211">
        <v>4734597900</v>
      </c>
      <c r="G28" s="211">
        <v>4614815500</v>
      </c>
      <c r="H28" s="211">
        <v>117509288055</v>
      </c>
      <c r="I28" s="211">
        <v>171108867747</v>
      </c>
      <c r="J28" s="211">
        <v>558012956</v>
      </c>
      <c r="K28" s="211">
        <v>1078982352</v>
      </c>
      <c r="L28" s="211">
        <v>124349633530</v>
      </c>
      <c r="M28" s="211">
        <v>108592732549</v>
      </c>
      <c r="N28" s="211">
        <v>1921156659</v>
      </c>
      <c r="O28" s="211">
        <v>2547834856</v>
      </c>
      <c r="P28" s="131"/>
      <c r="Q28" s="132"/>
      <c r="R28" s="132"/>
      <c r="S28" s="132"/>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28"/>
      <c r="CM28" s="128"/>
    </row>
    <row r="29" spans="1:91" s="129" customFormat="1" ht="19.5" customHeight="1" x14ac:dyDescent="0.2">
      <c r="A29" s="38" t="s">
        <v>62</v>
      </c>
      <c r="B29" s="211">
        <f t="shared" si="7"/>
        <v>365396724203</v>
      </c>
      <c r="C29" s="211">
        <f t="shared" si="7"/>
        <v>454713488740</v>
      </c>
      <c r="D29" s="211">
        <v>137838481526</v>
      </c>
      <c r="E29" s="211">
        <v>169793783636</v>
      </c>
      <c r="F29" s="211">
        <v>5496906445</v>
      </c>
      <c r="G29" s="211">
        <v>5195393251</v>
      </c>
      <c r="H29" s="211">
        <v>110479630530</v>
      </c>
      <c r="I29" s="211">
        <v>161567262560</v>
      </c>
      <c r="J29" s="45">
        <v>538345521</v>
      </c>
      <c r="K29" s="45">
        <f>1040304753</f>
        <v>1040304753</v>
      </c>
      <c r="L29" s="211">
        <v>111043360181</v>
      </c>
      <c r="M29" s="211">
        <v>117116744540</v>
      </c>
      <c r="N29" s="211"/>
      <c r="O29" s="211"/>
      <c r="P29" s="131"/>
      <c r="Q29" s="132"/>
      <c r="R29" s="132"/>
      <c r="S29" s="132"/>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c r="BL29" s="128"/>
      <c r="BM29" s="128"/>
      <c r="BN29" s="128"/>
      <c r="BO29" s="128"/>
      <c r="BP29" s="128"/>
      <c r="BQ29" s="128"/>
      <c r="BR29" s="128"/>
      <c r="BS29" s="128"/>
      <c r="BT29" s="128"/>
      <c r="BU29" s="128"/>
      <c r="BV29" s="128"/>
      <c r="BW29" s="128"/>
      <c r="BX29" s="128"/>
      <c r="BY29" s="128"/>
      <c r="BZ29" s="128"/>
      <c r="CA29" s="128"/>
      <c r="CB29" s="128"/>
      <c r="CC29" s="128"/>
      <c r="CD29" s="128"/>
      <c r="CE29" s="128"/>
      <c r="CF29" s="128"/>
      <c r="CG29" s="128"/>
      <c r="CH29" s="128"/>
      <c r="CI29" s="128"/>
      <c r="CJ29" s="128"/>
      <c r="CK29" s="128"/>
      <c r="CL29" s="128"/>
      <c r="CM29" s="128"/>
    </row>
    <row r="30" spans="1:91" s="129" customFormat="1" ht="19.5" customHeight="1" x14ac:dyDescent="0.2">
      <c r="A30" s="36" t="s">
        <v>63</v>
      </c>
      <c r="B30" s="211">
        <f t="shared" si="7"/>
        <v>23645509476</v>
      </c>
      <c r="C30" s="211">
        <f t="shared" si="7"/>
        <v>27800129833</v>
      </c>
      <c r="D30" s="211">
        <v>5794679880</v>
      </c>
      <c r="E30" s="211">
        <v>6227599480</v>
      </c>
      <c r="F30" s="211"/>
      <c r="G30" s="211"/>
      <c r="H30" s="211">
        <v>5293441355</v>
      </c>
      <c r="I30" s="211">
        <v>7697325222</v>
      </c>
      <c r="J30" s="211">
        <f>7668837+11250893+15480193</f>
        <v>34399923</v>
      </c>
      <c r="K30" s="211">
        <f>6155618+17649612+20363959</f>
        <v>44169189</v>
      </c>
      <c r="L30" s="211">
        <f>9061457163+1355850204</f>
        <v>10417307367</v>
      </c>
      <c r="M30" s="211">
        <f>10201864101+1280498996</f>
        <v>11482363097</v>
      </c>
      <c r="N30" s="211">
        <v>2105680951</v>
      </c>
      <c r="O30" s="211">
        <v>2348672845</v>
      </c>
      <c r="P30" s="128"/>
      <c r="Q30" s="128"/>
      <c r="R30" s="132"/>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8"/>
      <c r="BM30" s="128"/>
      <c r="BN30" s="128"/>
      <c r="BO30" s="128"/>
      <c r="BP30" s="128"/>
      <c r="BQ30" s="128"/>
      <c r="BR30" s="128"/>
      <c r="BS30" s="128"/>
      <c r="BT30" s="128"/>
      <c r="BU30" s="128"/>
      <c r="BV30" s="128"/>
      <c r="BW30" s="128"/>
      <c r="BX30" s="128"/>
      <c r="BY30" s="128"/>
      <c r="BZ30" s="128"/>
      <c r="CA30" s="128"/>
      <c r="CB30" s="128"/>
      <c r="CC30" s="128"/>
      <c r="CD30" s="128"/>
      <c r="CE30" s="128"/>
      <c r="CF30" s="128"/>
      <c r="CG30" s="128"/>
      <c r="CH30" s="128"/>
      <c r="CI30" s="128"/>
      <c r="CJ30" s="128"/>
      <c r="CK30" s="128"/>
      <c r="CL30" s="128"/>
      <c r="CM30" s="128"/>
    </row>
    <row r="31" spans="1:91" s="114" customFormat="1" ht="19.5" customHeight="1" x14ac:dyDescent="0.2">
      <c r="A31" s="42" t="s">
        <v>64</v>
      </c>
      <c r="B31" s="212">
        <f>+B28-B29-B30</f>
        <v>7478561040</v>
      </c>
      <c r="C31" s="212">
        <f>+C28-C29-C30</f>
        <v>-14653128558</v>
      </c>
      <c r="D31" s="212">
        <f t="shared" ref="D31:O31" si="8">+D28-D29-D30</f>
        <v>3814944213</v>
      </c>
      <c r="E31" s="212">
        <f t="shared" si="8"/>
        <v>3895873895</v>
      </c>
      <c r="F31" s="48">
        <f t="shared" si="8"/>
        <v>-762308545</v>
      </c>
      <c r="G31" s="48">
        <f>+G28-G29-G30</f>
        <v>-580577751</v>
      </c>
      <c r="H31" s="212">
        <f t="shared" si="8"/>
        <v>1736216170</v>
      </c>
      <c r="I31" s="212">
        <f t="shared" si="8"/>
        <v>1844279965</v>
      </c>
      <c r="J31" s="212">
        <f t="shared" si="8"/>
        <v>-14732488</v>
      </c>
      <c r="K31" s="212">
        <f>+K28-K29-K30</f>
        <v>-5491590</v>
      </c>
      <c r="L31" s="212">
        <f t="shared" si="8"/>
        <v>2888965982</v>
      </c>
      <c r="M31" s="212">
        <f t="shared" si="8"/>
        <v>-20006375088</v>
      </c>
      <c r="N31" s="48">
        <f t="shared" si="8"/>
        <v>-184524292</v>
      </c>
      <c r="O31" s="212">
        <f t="shared" si="8"/>
        <v>199162011</v>
      </c>
      <c r="P31" s="131"/>
      <c r="Q31" s="131"/>
      <c r="R31" s="131"/>
      <c r="S31" s="130"/>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c r="BU31" s="131"/>
      <c r="BV31" s="131"/>
      <c r="BW31" s="131"/>
      <c r="BX31" s="131"/>
      <c r="BY31" s="131"/>
      <c r="BZ31" s="131"/>
      <c r="CA31" s="131"/>
      <c r="CB31" s="131"/>
      <c r="CC31" s="131"/>
      <c r="CD31" s="131"/>
      <c r="CE31" s="131"/>
      <c r="CF31" s="131"/>
      <c r="CG31" s="131"/>
      <c r="CH31" s="131"/>
      <c r="CI31" s="131"/>
      <c r="CJ31" s="131"/>
      <c r="CK31" s="131"/>
      <c r="CL31" s="131"/>
      <c r="CM31" s="131"/>
    </row>
    <row r="32" spans="1:91" s="129" customFormat="1" ht="19.5" customHeight="1" x14ac:dyDescent="0.2">
      <c r="A32" s="36" t="s">
        <v>65</v>
      </c>
      <c r="B32" s="211">
        <f t="shared" ref="B32:C36" si="9">+D32+F32+H32+J32+L32+N32</f>
        <v>6180059803</v>
      </c>
      <c r="C32" s="211">
        <f t="shared" si="9"/>
        <v>16180728613</v>
      </c>
      <c r="D32" s="201">
        <f>91457887+149807154+52173213</f>
        <v>293438254</v>
      </c>
      <c r="E32" s="201">
        <f>1979421581+1395817194+10219505</f>
        <v>3385458280</v>
      </c>
      <c r="F32" s="201">
        <v>2727320197</v>
      </c>
      <c r="G32" s="201">
        <v>756198363</v>
      </c>
      <c r="H32" s="201">
        <f>667687517+216362173</f>
        <v>884049690</v>
      </c>
      <c r="I32" s="201">
        <f>1569197242+592331398</f>
        <v>2161528640</v>
      </c>
      <c r="J32" s="201">
        <f>35765+2792899</f>
        <v>2828664</v>
      </c>
      <c r="K32" s="201">
        <f>25651</f>
        <v>25651</v>
      </c>
      <c r="L32" s="211">
        <f>1986493795+184795589</f>
        <v>2171289384</v>
      </c>
      <c r="M32" s="211">
        <f>4407012673+5423575096</f>
        <v>9830587769</v>
      </c>
      <c r="N32" s="201">
        <f>819808+46167172+54146634</f>
        <v>101133614</v>
      </c>
      <c r="O32" s="201">
        <f>1984989+44944921</f>
        <v>46929910</v>
      </c>
      <c r="P32" s="131"/>
      <c r="Q32" s="128"/>
      <c r="R32" s="132"/>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c r="BS32" s="128"/>
      <c r="BT32" s="128"/>
      <c r="BU32" s="128"/>
      <c r="BV32" s="128"/>
      <c r="BW32" s="128"/>
      <c r="BX32" s="128"/>
      <c r="BY32" s="128"/>
      <c r="BZ32" s="128"/>
      <c r="CA32" s="128"/>
      <c r="CB32" s="128"/>
      <c r="CC32" s="128"/>
      <c r="CD32" s="128"/>
      <c r="CE32" s="128"/>
      <c r="CF32" s="128"/>
      <c r="CG32" s="128"/>
      <c r="CH32" s="128"/>
      <c r="CI32" s="128"/>
      <c r="CJ32" s="128"/>
      <c r="CK32" s="128"/>
      <c r="CL32" s="128"/>
      <c r="CM32" s="128"/>
    </row>
    <row r="33" spans="1:91" s="129" customFormat="1" ht="19.5" customHeight="1" x14ac:dyDescent="0.2">
      <c r="A33" s="36" t="s">
        <v>66</v>
      </c>
      <c r="B33" s="211">
        <f t="shared" si="9"/>
        <v>8593076917</v>
      </c>
      <c r="C33" s="211">
        <f t="shared" si="9"/>
        <v>17605248506</v>
      </c>
      <c r="D33" s="201">
        <f>129674911+48129051</f>
        <v>177803962</v>
      </c>
      <c r="E33" s="45">
        <f>334784019+4841588</f>
        <v>339625607</v>
      </c>
      <c r="F33" s="211">
        <f>525548128+1830079829</f>
        <v>2355627957</v>
      </c>
      <c r="G33" s="211">
        <f>702128695+142144466</f>
        <v>844273161</v>
      </c>
      <c r="H33" s="211">
        <f>2270578156+79244086</f>
        <v>2349822242</v>
      </c>
      <c r="I33" s="211">
        <f>2958655762+252542534</f>
        <v>3211198296</v>
      </c>
      <c r="J33" s="201">
        <f>855579+201173728</f>
        <v>202029307</v>
      </c>
      <c r="K33" s="211">
        <f>1291773+24672214+3740433</f>
        <v>29704420</v>
      </c>
      <c r="L33" s="211">
        <f>2408849388+820715036</f>
        <v>3229564424</v>
      </c>
      <c r="M33" s="211">
        <f>10010363329+3046976041</f>
        <v>13057339370</v>
      </c>
      <c r="N33" s="211">
        <f>71638104+206590921</f>
        <v>278229025</v>
      </c>
      <c r="O33" s="211">
        <f>115811543+7296109</f>
        <v>123107652</v>
      </c>
      <c r="P33" s="131"/>
      <c r="Q33" s="128"/>
      <c r="R33" s="132"/>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S33" s="128"/>
      <c r="BT33" s="128"/>
      <c r="BU33" s="128"/>
      <c r="BV33" s="128"/>
      <c r="BW33" s="128"/>
      <c r="BX33" s="128"/>
      <c r="BY33" s="128"/>
      <c r="BZ33" s="128"/>
      <c r="CA33" s="128"/>
      <c r="CB33" s="128"/>
      <c r="CC33" s="128"/>
      <c r="CD33" s="128"/>
      <c r="CE33" s="128"/>
      <c r="CF33" s="128"/>
      <c r="CG33" s="128"/>
      <c r="CH33" s="128"/>
      <c r="CI33" s="128"/>
      <c r="CJ33" s="128"/>
      <c r="CK33" s="128"/>
      <c r="CL33" s="128"/>
      <c r="CM33" s="128"/>
    </row>
    <row r="34" spans="1:91" s="114" customFormat="1" ht="19.5" customHeight="1" x14ac:dyDescent="0.2">
      <c r="A34" s="141" t="s">
        <v>67</v>
      </c>
      <c r="B34" s="213">
        <f t="shared" si="9"/>
        <v>5065543926</v>
      </c>
      <c r="C34" s="213">
        <f t="shared" si="9"/>
        <v>-16077648451</v>
      </c>
      <c r="D34" s="213">
        <f t="shared" ref="D34:O34" si="10">+D31+D32-D33</f>
        <v>3930578505</v>
      </c>
      <c r="E34" s="213">
        <f t="shared" si="10"/>
        <v>6941706568</v>
      </c>
      <c r="F34" s="213">
        <f t="shared" si="10"/>
        <v>-390616305</v>
      </c>
      <c r="G34" s="213">
        <f t="shared" si="10"/>
        <v>-668652549</v>
      </c>
      <c r="H34" s="213">
        <f t="shared" si="10"/>
        <v>270443618</v>
      </c>
      <c r="I34" s="213">
        <f t="shared" si="10"/>
        <v>794610309</v>
      </c>
      <c r="J34" s="213">
        <f t="shared" si="10"/>
        <v>-213933131</v>
      </c>
      <c r="K34" s="213">
        <f t="shared" si="10"/>
        <v>-35170359</v>
      </c>
      <c r="L34" s="213">
        <f t="shared" si="10"/>
        <v>1830690942</v>
      </c>
      <c r="M34" s="213">
        <f t="shared" si="10"/>
        <v>-23233126689</v>
      </c>
      <c r="N34" s="213">
        <f t="shared" si="10"/>
        <v>-361619703</v>
      </c>
      <c r="O34" s="213">
        <f t="shared" si="10"/>
        <v>122984269</v>
      </c>
      <c r="P34" s="131"/>
      <c r="Q34" s="131"/>
      <c r="R34" s="130"/>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row>
    <row r="35" spans="1:91" s="129" customFormat="1" ht="19.5" customHeight="1" x14ac:dyDescent="0.2">
      <c r="A35" s="87" t="s">
        <v>68</v>
      </c>
      <c r="B35" s="211">
        <f t="shared" si="9"/>
        <v>-2534704093</v>
      </c>
      <c r="C35" s="211">
        <f t="shared" si="9"/>
        <v>-2686984964</v>
      </c>
      <c r="D35" s="45">
        <v>-994652696</v>
      </c>
      <c r="E35" s="45">
        <v>-3195805749</v>
      </c>
      <c r="F35" s="214">
        <v>0</v>
      </c>
      <c r="G35" s="214">
        <v>0</v>
      </c>
      <c r="H35" s="211">
        <v>153416542</v>
      </c>
      <c r="I35" s="211">
        <v>649575000</v>
      </c>
      <c r="J35" s="211">
        <v>17116557</v>
      </c>
      <c r="K35" s="211">
        <v>6340154</v>
      </c>
      <c r="L35" s="211">
        <v>-1826206000</v>
      </c>
      <c r="M35" s="211">
        <v>-147979379</v>
      </c>
      <c r="N35" s="211">
        <f>102854597+12766907</f>
        <v>115621504</v>
      </c>
      <c r="O35" s="211">
        <v>885010</v>
      </c>
      <c r="P35" s="131"/>
      <c r="Q35" s="128"/>
      <c r="R35" s="132"/>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128"/>
    </row>
    <row r="36" spans="1:91" s="129" customFormat="1" ht="19.5" customHeight="1" x14ac:dyDescent="0.2">
      <c r="A36" s="86" t="s">
        <v>69</v>
      </c>
      <c r="B36" s="212">
        <f t="shared" si="9"/>
        <v>2183101804</v>
      </c>
      <c r="C36" s="48">
        <f t="shared" si="9"/>
        <v>-19897476040</v>
      </c>
      <c r="D36" s="212">
        <v>2935925788</v>
      </c>
      <c r="E36" s="48">
        <v>3745901820</v>
      </c>
      <c r="F36" s="155">
        <v>-390616305</v>
      </c>
      <c r="G36" s="155">
        <v>-668652550</v>
      </c>
      <c r="H36" s="212">
        <v>307365160</v>
      </c>
      <c r="I36" s="48">
        <v>324021992</v>
      </c>
      <c r="J36" s="212">
        <f>+J34+J35</f>
        <v>-196816574</v>
      </c>
      <c r="K36" s="48">
        <v>-41510513</v>
      </c>
      <c r="L36" s="212">
        <f>+L34+L35</f>
        <v>4484942</v>
      </c>
      <c r="M36" s="212">
        <f>+M34+M35</f>
        <v>-23381106068</v>
      </c>
      <c r="N36" s="48">
        <v>-477241207</v>
      </c>
      <c r="O36" s="48">
        <v>123869279</v>
      </c>
    </row>
    <row r="37" spans="1:91" ht="19.5" customHeight="1" x14ac:dyDescent="0.2">
      <c r="B37" s="133"/>
      <c r="C37" s="133"/>
      <c r="D37" s="133"/>
      <c r="E37" s="133"/>
      <c r="F37" s="133"/>
      <c r="G37" s="133"/>
      <c r="H37" s="133"/>
      <c r="I37" s="133"/>
      <c r="J37" s="133"/>
      <c r="K37" s="133"/>
      <c r="L37" s="133"/>
      <c r="M37" s="133"/>
      <c r="N37" s="133"/>
      <c r="O37" s="133"/>
      <c r="P37" s="134"/>
      <c r="Q37" s="134"/>
      <c r="R37" s="134"/>
      <c r="S37" s="134"/>
      <c r="T37" s="134"/>
      <c r="U37" s="134"/>
      <c r="V37" s="134"/>
      <c r="W37" s="134"/>
      <c r="X37" s="134"/>
      <c r="Y37" s="134"/>
      <c r="Z37" s="134"/>
      <c r="AA37" s="134"/>
    </row>
    <row r="38" spans="1:91" ht="12" customHeight="1" x14ac:dyDescent="0.2">
      <c r="A38" s="258" t="s">
        <v>118</v>
      </c>
      <c r="B38" s="133" t="str">
        <f>IF((B10-B14)=B26,"Ok","Revisar")</f>
        <v>Ok</v>
      </c>
      <c r="C38" s="133" t="str">
        <f>IF((C10-C14)=C26,"Ok","Revisar")</f>
        <v>Ok</v>
      </c>
      <c r="D38" s="133" t="str">
        <f>IF((D10-D14)=D26,"Ok","Revisar")</f>
        <v>Ok</v>
      </c>
      <c r="E38" s="133" t="str">
        <f>IF((E10-E14)=E26,"Ok","Revisar")</f>
        <v>Ok</v>
      </c>
      <c r="F38" s="133" t="str">
        <f>IF((F10-F14)=F26,"Ok","Revisar")</f>
        <v>Ok</v>
      </c>
      <c r="G38" s="133" t="str">
        <f>IF(ROUND((G10-G14),0)=G26,"Ok","Revisar")</f>
        <v>Ok</v>
      </c>
      <c r="H38" s="133" t="str">
        <f t="shared" ref="H38:O38" si="11">IF((H10-H14)=H26,"Ok","Revisar")</f>
        <v>Ok</v>
      </c>
      <c r="I38" s="133" t="str">
        <f t="shared" si="11"/>
        <v>Ok</v>
      </c>
      <c r="J38" s="133" t="str">
        <f t="shared" si="11"/>
        <v>Ok</v>
      </c>
      <c r="K38" s="133" t="str">
        <f t="shared" si="11"/>
        <v>Ok</v>
      </c>
      <c r="L38" s="133" t="str">
        <f>IF((L10-L14)=L26,"Ok","Revisar")</f>
        <v>Ok</v>
      </c>
      <c r="M38" s="133" t="str">
        <f>IF((M10-M14)=M26,"Ok","Revisar")</f>
        <v>Ok</v>
      </c>
      <c r="N38" s="133" t="str">
        <f t="shared" si="11"/>
        <v>Ok</v>
      </c>
      <c r="O38" s="133" t="str">
        <f t="shared" si="11"/>
        <v>Ok</v>
      </c>
      <c r="P38" s="134"/>
      <c r="Q38" s="134"/>
      <c r="R38" s="134"/>
      <c r="S38" s="134"/>
      <c r="T38" s="134"/>
      <c r="U38" s="134"/>
      <c r="V38" s="134"/>
      <c r="W38" s="134"/>
      <c r="X38" s="134"/>
      <c r="Y38" s="134"/>
      <c r="Z38" s="134"/>
      <c r="AA38" s="134"/>
    </row>
    <row r="39" spans="1:91" x14ac:dyDescent="0.2">
      <c r="A39" s="258"/>
      <c r="B39" s="133">
        <f t="shared" ref="B39:O39" si="12">+B10-B27</f>
        <v>0</v>
      </c>
      <c r="C39" s="133">
        <f t="shared" si="12"/>
        <v>0</v>
      </c>
      <c r="D39" s="133">
        <f t="shared" si="12"/>
        <v>0</v>
      </c>
      <c r="E39" s="133">
        <f t="shared" si="12"/>
        <v>0</v>
      </c>
      <c r="F39" s="133">
        <f t="shared" si="12"/>
        <v>0</v>
      </c>
      <c r="G39" s="133">
        <f t="shared" si="12"/>
        <v>0</v>
      </c>
      <c r="H39" s="133">
        <f t="shared" si="12"/>
        <v>0</v>
      </c>
      <c r="I39" s="133">
        <f t="shared" si="12"/>
        <v>0</v>
      </c>
      <c r="J39" s="133">
        <f t="shared" si="12"/>
        <v>0</v>
      </c>
      <c r="K39" s="133">
        <f>+K10-K27</f>
        <v>0</v>
      </c>
      <c r="L39" s="133">
        <f t="shared" si="12"/>
        <v>0</v>
      </c>
      <c r="M39" s="133">
        <f>+M10-M27</f>
        <v>0</v>
      </c>
      <c r="N39" s="133">
        <f t="shared" si="12"/>
        <v>0</v>
      </c>
      <c r="O39" s="133">
        <f t="shared" si="12"/>
        <v>0</v>
      </c>
      <c r="P39" s="134"/>
      <c r="Q39" s="134"/>
      <c r="R39" s="134"/>
      <c r="S39" s="134"/>
      <c r="T39" s="134"/>
      <c r="U39" s="134"/>
      <c r="V39" s="134"/>
      <c r="W39" s="134"/>
      <c r="X39" s="134"/>
      <c r="Y39" s="134"/>
      <c r="Z39" s="134"/>
      <c r="AA39" s="134"/>
    </row>
    <row r="40" spans="1:91" x14ac:dyDescent="0.2">
      <c r="A40" s="258"/>
      <c r="B40" s="135"/>
      <c r="C40" s="135"/>
      <c r="D40" s="135"/>
      <c r="E40" s="135"/>
      <c r="F40" s="135"/>
      <c r="G40" s="135"/>
      <c r="H40" s="135"/>
      <c r="I40" s="135"/>
      <c r="J40" s="135"/>
      <c r="K40" s="135"/>
      <c r="L40" s="133" t="s">
        <v>119</v>
      </c>
      <c r="M40" s="133" t="s">
        <v>119</v>
      </c>
      <c r="N40" s="135"/>
      <c r="O40" s="135"/>
      <c r="P40" s="134"/>
      <c r="Q40" s="134"/>
      <c r="R40" s="134"/>
      <c r="S40" s="134"/>
      <c r="T40" s="134"/>
      <c r="U40" s="134"/>
      <c r="V40" s="134"/>
      <c r="W40" s="134"/>
      <c r="X40" s="134"/>
      <c r="Y40" s="134"/>
      <c r="Z40" s="134"/>
      <c r="AA40" s="134"/>
    </row>
    <row r="41" spans="1:91" ht="12" customHeight="1" x14ac:dyDescent="0.2">
      <c r="A41" s="136"/>
      <c r="B41" s="137"/>
      <c r="C41" s="138"/>
      <c r="D41" s="134" t="s">
        <v>120</v>
      </c>
      <c r="E41" s="138"/>
      <c r="F41" s="134" t="s">
        <v>120</v>
      </c>
      <c r="G41" s="138"/>
      <c r="H41" s="134" t="s">
        <v>120</v>
      </c>
      <c r="I41" s="138"/>
      <c r="J41" s="134" t="s">
        <v>120</v>
      </c>
      <c r="K41" s="138"/>
      <c r="L41" s="134" t="s">
        <v>120</v>
      </c>
      <c r="M41" s="138"/>
      <c r="N41" s="134" t="s">
        <v>120</v>
      </c>
      <c r="O41" s="138"/>
      <c r="P41" s="134"/>
      <c r="Q41" s="134"/>
      <c r="R41" s="134"/>
      <c r="S41" s="134"/>
      <c r="T41" s="134"/>
      <c r="U41" s="134"/>
      <c r="V41" s="134"/>
      <c r="W41" s="134"/>
      <c r="X41" s="134"/>
      <c r="Y41" s="134"/>
      <c r="Z41" s="134"/>
      <c r="AA41" s="134"/>
    </row>
    <row r="42" spans="1:91" x14ac:dyDescent="0.2">
      <c r="A42" s="136"/>
      <c r="B42" s="136"/>
      <c r="C42" s="8"/>
      <c r="D42" s="8"/>
      <c r="E42" s="8"/>
      <c r="F42" s="8"/>
      <c r="G42" s="8"/>
      <c r="H42" s="8"/>
      <c r="I42" s="8"/>
      <c r="J42" s="8"/>
      <c r="K42" s="8"/>
      <c r="L42" s="8"/>
      <c r="M42" s="8"/>
      <c r="N42" s="8"/>
      <c r="O42" s="8"/>
    </row>
    <row r="43" spans="1:91" x14ac:dyDescent="0.2">
      <c r="A43" s="139"/>
      <c r="B43" s="8"/>
      <c r="C43" s="8"/>
      <c r="D43" s="8"/>
      <c r="E43" s="8"/>
      <c r="F43" s="8"/>
      <c r="G43" s="8"/>
      <c r="H43" s="8"/>
      <c r="I43" s="8"/>
      <c r="J43" s="8"/>
      <c r="K43" s="8"/>
      <c r="L43" s="8"/>
      <c r="M43" s="8"/>
      <c r="N43" s="8"/>
      <c r="O43" s="8"/>
    </row>
    <row r="44" spans="1:91" x14ac:dyDescent="0.2">
      <c r="A44" s="114"/>
      <c r="B44" s="16"/>
      <c r="C44" s="16"/>
      <c r="D44" s="16"/>
      <c r="E44" s="16"/>
      <c r="F44" s="16"/>
      <c r="G44" s="16"/>
      <c r="H44" s="16"/>
      <c r="I44" s="16"/>
      <c r="J44" s="16"/>
      <c r="K44" s="16"/>
      <c r="L44" s="16"/>
      <c r="M44" s="16"/>
      <c r="N44" s="16"/>
      <c r="O44" s="16"/>
    </row>
    <row r="45" spans="1:91" ht="33.75" customHeight="1" x14ac:dyDescent="0.2">
      <c r="A45" s="139"/>
      <c r="B45" s="16"/>
      <c r="C45" s="16"/>
      <c r="D45" s="16"/>
      <c r="E45" s="16"/>
      <c r="F45" s="16"/>
      <c r="G45" s="16"/>
      <c r="H45" s="16"/>
      <c r="I45" s="16"/>
      <c r="J45" s="16"/>
      <c r="K45" s="16"/>
      <c r="L45" s="16"/>
      <c r="M45" s="16"/>
      <c r="N45" s="16"/>
      <c r="O45" s="16"/>
    </row>
    <row r="46" spans="1:91" x14ac:dyDescent="0.2">
      <c r="A46" s="114"/>
      <c r="B46" s="16"/>
      <c r="C46" s="16"/>
      <c r="D46" s="16"/>
      <c r="E46" s="16"/>
      <c r="F46" s="16"/>
      <c r="G46" s="16"/>
      <c r="H46" s="16"/>
      <c r="I46" s="16"/>
      <c r="J46" s="16"/>
      <c r="K46" s="16"/>
      <c r="L46" s="16"/>
      <c r="M46" s="16"/>
      <c r="N46" s="16"/>
      <c r="O46" s="16"/>
    </row>
    <row r="47" spans="1:91" x14ac:dyDescent="0.2">
      <c r="A47" s="139"/>
      <c r="B47" s="16"/>
      <c r="C47" s="16"/>
      <c r="D47" s="16"/>
      <c r="E47" s="16"/>
      <c r="F47" s="16"/>
      <c r="G47" s="16"/>
      <c r="H47" s="16"/>
      <c r="I47" s="16"/>
      <c r="J47" s="16"/>
      <c r="K47" s="16"/>
      <c r="L47" s="16"/>
      <c r="M47" s="16"/>
      <c r="N47" s="16"/>
      <c r="O47" s="16"/>
    </row>
    <row r="48" spans="1:91" x14ac:dyDescent="0.2">
      <c r="A48" s="114"/>
      <c r="B48" s="16"/>
      <c r="C48" s="16"/>
      <c r="D48" s="16"/>
      <c r="E48" s="16"/>
      <c r="F48" s="16"/>
      <c r="G48" s="16"/>
      <c r="H48" s="16"/>
      <c r="I48" s="16"/>
      <c r="J48" s="16"/>
      <c r="K48" s="16"/>
      <c r="L48" s="16"/>
      <c r="M48" s="16"/>
      <c r="N48" s="16"/>
      <c r="O48" s="16"/>
    </row>
    <row r="49" spans="1:15" x14ac:dyDescent="0.2">
      <c r="A49" s="114"/>
      <c r="B49" s="16"/>
      <c r="C49" s="16"/>
      <c r="D49" s="16"/>
      <c r="E49" s="16"/>
      <c r="F49" s="16"/>
      <c r="G49" s="16"/>
      <c r="H49" s="16"/>
      <c r="I49" s="16"/>
      <c r="J49" s="16"/>
      <c r="K49" s="16"/>
      <c r="L49" s="16"/>
      <c r="M49" s="16"/>
      <c r="N49" s="16"/>
      <c r="O49" s="16"/>
    </row>
    <row r="50" spans="1:15" x14ac:dyDescent="0.2">
      <c r="A50" s="114"/>
      <c r="B50" s="16"/>
      <c r="C50" s="16"/>
      <c r="D50" s="16"/>
      <c r="E50" s="16"/>
      <c r="F50" s="16"/>
      <c r="G50" s="16"/>
      <c r="H50" s="16"/>
      <c r="I50" s="16"/>
      <c r="J50" s="16"/>
      <c r="K50" s="16"/>
      <c r="L50" s="16"/>
      <c r="M50" s="16"/>
      <c r="N50" s="16"/>
      <c r="O50" s="16"/>
    </row>
    <row r="51" spans="1:15" x14ac:dyDescent="0.2">
      <c r="A51" s="114"/>
      <c r="B51" s="16"/>
      <c r="C51" s="16"/>
      <c r="D51" s="16"/>
      <c r="E51" s="16"/>
      <c r="F51" s="16"/>
      <c r="G51" s="16"/>
      <c r="H51" s="16"/>
      <c r="I51" s="16"/>
      <c r="J51" s="16"/>
      <c r="K51" s="16"/>
      <c r="L51" s="16"/>
      <c r="M51" s="16"/>
      <c r="N51" s="16"/>
      <c r="O51" s="16"/>
    </row>
    <row r="52" spans="1:15" x14ac:dyDescent="0.2">
      <c r="A52" s="114"/>
      <c r="B52" s="16"/>
      <c r="C52" s="16"/>
      <c r="D52" s="16"/>
      <c r="E52" s="16"/>
      <c r="F52" s="16"/>
      <c r="G52" s="16"/>
      <c r="H52" s="16"/>
      <c r="I52" s="16"/>
      <c r="J52" s="16"/>
      <c r="K52" s="16"/>
      <c r="L52" s="16"/>
      <c r="M52" s="16"/>
      <c r="N52" s="16"/>
      <c r="O52" s="16"/>
    </row>
    <row r="53" spans="1:15" x14ac:dyDescent="0.2">
      <c r="A53" s="114"/>
      <c r="B53" s="16"/>
      <c r="C53" s="16"/>
      <c r="D53" s="16"/>
      <c r="E53" s="16"/>
      <c r="F53" s="16"/>
      <c r="G53" s="16"/>
      <c r="H53" s="16"/>
      <c r="I53" s="16"/>
      <c r="J53" s="16"/>
      <c r="K53" s="16"/>
      <c r="L53" s="16"/>
      <c r="M53" s="16"/>
      <c r="N53" s="16"/>
      <c r="O53" s="16"/>
    </row>
    <row r="54" spans="1:15" x14ac:dyDescent="0.2">
      <c r="A54" s="114"/>
      <c r="B54" s="16"/>
      <c r="C54" s="16"/>
      <c r="D54" s="16"/>
      <c r="E54" s="16"/>
      <c r="F54" s="16"/>
      <c r="G54" s="16"/>
      <c r="H54" s="16"/>
      <c r="I54" s="16"/>
      <c r="J54" s="16"/>
      <c r="K54" s="16"/>
      <c r="L54" s="16"/>
      <c r="M54" s="16"/>
      <c r="N54" s="16"/>
      <c r="O54" s="16"/>
    </row>
    <row r="55" spans="1:15" x14ac:dyDescent="0.2">
      <c r="A55" s="114"/>
      <c r="B55" s="16"/>
      <c r="C55" s="16"/>
      <c r="D55" s="16"/>
      <c r="E55" s="16"/>
      <c r="F55" s="16"/>
      <c r="G55" s="16"/>
      <c r="H55" s="16"/>
      <c r="I55" s="16"/>
      <c r="J55" s="16"/>
      <c r="K55" s="16"/>
      <c r="L55" s="16"/>
      <c r="M55" s="16"/>
      <c r="N55" s="16"/>
      <c r="O55" s="16"/>
    </row>
    <row r="56" spans="1:15" x14ac:dyDescent="0.2">
      <c r="A56" s="114"/>
      <c r="B56" s="16"/>
      <c r="C56" s="16"/>
      <c r="D56" s="16"/>
      <c r="E56" s="16"/>
      <c r="F56" s="16"/>
      <c r="G56" s="16"/>
      <c r="H56" s="16"/>
      <c r="I56" s="16"/>
      <c r="J56" s="16"/>
      <c r="K56" s="16"/>
      <c r="L56" s="16"/>
      <c r="M56" s="16"/>
      <c r="N56" s="16"/>
      <c r="O56" s="16"/>
    </row>
    <row r="57" spans="1:15" x14ac:dyDescent="0.2">
      <c r="A57" s="114"/>
      <c r="B57" s="16"/>
      <c r="C57" s="16"/>
      <c r="D57" s="16"/>
      <c r="E57" s="16"/>
      <c r="F57" s="16"/>
      <c r="G57" s="16"/>
      <c r="H57" s="16"/>
      <c r="I57" s="16"/>
      <c r="J57" s="16"/>
      <c r="K57" s="16"/>
      <c r="L57" s="16"/>
      <c r="M57" s="16"/>
      <c r="N57" s="16"/>
      <c r="O57" s="16"/>
    </row>
    <row r="58" spans="1:15" x14ac:dyDescent="0.2">
      <c r="A58" s="114"/>
      <c r="B58" s="16"/>
      <c r="C58" s="16"/>
      <c r="D58" s="16"/>
      <c r="E58" s="16"/>
      <c r="F58" s="16"/>
      <c r="G58" s="16"/>
      <c r="H58" s="16"/>
      <c r="I58" s="16"/>
      <c r="J58" s="16"/>
      <c r="K58" s="16"/>
      <c r="L58" s="16"/>
      <c r="M58" s="16"/>
      <c r="N58" s="16"/>
      <c r="O58" s="16"/>
    </row>
    <row r="59" spans="1:15" x14ac:dyDescent="0.2">
      <c r="A59" s="114"/>
      <c r="B59" s="16"/>
      <c r="C59" s="16"/>
      <c r="D59" s="16"/>
      <c r="E59" s="16"/>
      <c r="F59" s="16"/>
      <c r="G59" s="16"/>
      <c r="H59" s="16"/>
      <c r="I59" s="16"/>
      <c r="J59" s="16"/>
      <c r="K59" s="16"/>
      <c r="L59" s="16"/>
      <c r="M59" s="16"/>
      <c r="N59" s="16"/>
      <c r="O59" s="16"/>
    </row>
    <row r="60" spans="1:15" x14ac:dyDescent="0.2">
      <c r="A60" s="114"/>
      <c r="B60" s="16"/>
      <c r="C60" s="16"/>
      <c r="D60" s="16"/>
      <c r="E60" s="16"/>
      <c r="F60" s="16"/>
      <c r="G60" s="16"/>
      <c r="H60" s="16"/>
      <c r="I60" s="16"/>
      <c r="J60" s="16"/>
      <c r="K60" s="16"/>
      <c r="L60" s="16"/>
      <c r="M60" s="16"/>
      <c r="N60" s="16"/>
      <c r="O60" s="16"/>
    </row>
    <row r="61" spans="1:15" x14ac:dyDescent="0.2">
      <c r="A61" s="114"/>
      <c r="B61" s="16"/>
      <c r="C61" s="16"/>
      <c r="D61" s="16"/>
      <c r="E61" s="16"/>
      <c r="F61" s="16"/>
      <c r="G61" s="16"/>
      <c r="H61" s="16"/>
      <c r="I61" s="16"/>
      <c r="J61" s="16"/>
      <c r="K61" s="16"/>
      <c r="L61" s="16"/>
      <c r="M61" s="16"/>
      <c r="N61" s="16"/>
      <c r="O61" s="16"/>
    </row>
    <row r="62" spans="1:15" x14ac:dyDescent="0.2">
      <c r="A62" s="114"/>
      <c r="B62" s="16"/>
      <c r="C62" s="16"/>
      <c r="D62" s="16"/>
      <c r="E62" s="16"/>
      <c r="F62" s="16"/>
      <c r="G62" s="16"/>
      <c r="H62" s="16"/>
      <c r="I62" s="16"/>
      <c r="J62" s="16"/>
      <c r="K62" s="16"/>
      <c r="L62" s="16"/>
      <c r="M62" s="16"/>
      <c r="N62" s="16"/>
      <c r="O62" s="16"/>
    </row>
    <row r="63" spans="1:15" x14ac:dyDescent="0.2">
      <c r="A63" s="114"/>
      <c r="B63" s="16"/>
      <c r="C63" s="16"/>
      <c r="D63" s="16"/>
      <c r="E63" s="16"/>
      <c r="F63" s="16"/>
      <c r="G63" s="16"/>
      <c r="H63" s="16"/>
      <c r="I63" s="16"/>
      <c r="J63" s="16"/>
      <c r="K63" s="16"/>
      <c r="L63" s="16"/>
      <c r="M63" s="16"/>
      <c r="N63" s="16"/>
      <c r="O63" s="16"/>
    </row>
    <row r="64" spans="1:15" x14ac:dyDescent="0.2">
      <c r="A64" s="114"/>
      <c r="B64" s="16"/>
      <c r="C64" s="16"/>
      <c r="D64" s="16"/>
      <c r="E64" s="16"/>
      <c r="F64" s="16"/>
      <c r="G64" s="16"/>
      <c r="H64" s="16"/>
      <c r="I64" s="16"/>
      <c r="J64" s="16"/>
      <c r="K64" s="16"/>
      <c r="L64" s="16"/>
      <c r="M64" s="16"/>
      <c r="N64" s="16"/>
      <c r="O64" s="16"/>
    </row>
    <row r="65" spans="1:15" x14ac:dyDescent="0.2">
      <c r="A65" s="114"/>
      <c r="B65" s="16"/>
      <c r="C65" s="16"/>
      <c r="D65" s="16"/>
      <c r="E65" s="16"/>
      <c r="F65" s="16"/>
      <c r="G65" s="16"/>
      <c r="H65" s="16"/>
      <c r="I65" s="16"/>
      <c r="J65" s="16"/>
      <c r="K65" s="16"/>
      <c r="L65" s="16"/>
      <c r="M65" s="16"/>
      <c r="N65" s="16"/>
      <c r="O65" s="16"/>
    </row>
    <row r="66" spans="1:15" x14ac:dyDescent="0.2">
      <c r="A66" s="114"/>
      <c r="B66" s="16"/>
      <c r="C66" s="16"/>
      <c r="D66" s="16"/>
      <c r="E66" s="16"/>
      <c r="F66" s="16"/>
      <c r="G66" s="16"/>
      <c r="H66" s="16"/>
      <c r="I66" s="16"/>
      <c r="J66" s="16"/>
      <c r="K66" s="16"/>
      <c r="L66" s="16"/>
      <c r="M66" s="16"/>
      <c r="N66" s="16"/>
      <c r="O66" s="16"/>
    </row>
    <row r="67" spans="1:15" x14ac:dyDescent="0.2">
      <c r="A67" s="114"/>
      <c r="B67" s="16"/>
      <c r="C67" s="16"/>
      <c r="D67" s="16"/>
      <c r="E67" s="16"/>
      <c r="F67" s="16"/>
      <c r="G67" s="16"/>
      <c r="H67" s="16"/>
      <c r="I67" s="16"/>
      <c r="J67" s="16"/>
      <c r="K67" s="16"/>
      <c r="L67" s="16"/>
      <c r="M67" s="16"/>
      <c r="N67" s="16"/>
      <c r="O67" s="16"/>
    </row>
    <row r="68" spans="1:15" x14ac:dyDescent="0.2">
      <c r="A68" s="114"/>
      <c r="B68" s="16"/>
      <c r="C68" s="16"/>
      <c r="D68" s="16"/>
      <c r="E68" s="16"/>
      <c r="F68" s="16"/>
      <c r="G68" s="16"/>
      <c r="H68" s="16"/>
      <c r="I68" s="16"/>
      <c r="J68" s="16"/>
      <c r="K68" s="16"/>
      <c r="L68" s="16"/>
      <c r="M68" s="16"/>
      <c r="N68" s="16"/>
      <c r="O68" s="16"/>
    </row>
    <row r="69" spans="1:15" x14ac:dyDescent="0.2">
      <c r="A69" s="114"/>
      <c r="B69" s="16"/>
      <c r="C69" s="16"/>
      <c r="D69" s="16"/>
      <c r="E69" s="16"/>
      <c r="F69" s="16"/>
      <c r="G69" s="16"/>
      <c r="H69" s="16"/>
      <c r="I69" s="16"/>
      <c r="J69" s="16"/>
      <c r="K69" s="16"/>
      <c r="L69" s="16"/>
      <c r="M69" s="16"/>
      <c r="N69" s="16"/>
      <c r="O69" s="16"/>
    </row>
    <row r="70" spans="1:15" x14ac:dyDescent="0.2">
      <c r="A70" s="114"/>
      <c r="B70" s="16"/>
      <c r="C70" s="16"/>
      <c r="D70" s="16"/>
      <c r="E70" s="16"/>
      <c r="F70" s="16"/>
      <c r="G70" s="16"/>
      <c r="H70" s="16"/>
      <c r="I70" s="16"/>
      <c r="J70" s="16"/>
      <c r="K70" s="16"/>
      <c r="L70" s="16"/>
      <c r="M70" s="16"/>
      <c r="N70" s="16"/>
      <c r="O70" s="16"/>
    </row>
    <row r="71" spans="1:15" x14ac:dyDescent="0.2">
      <c r="A71" s="114"/>
      <c r="B71" s="16"/>
      <c r="C71" s="16"/>
      <c r="D71" s="16"/>
      <c r="E71" s="16"/>
      <c r="F71" s="16"/>
      <c r="G71" s="16"/>
      <c r="H71" s="16"/>
      <c r="I71" s="16"/>
      <c r="J71" s="16"/>
      <c r="K71" s="16"/>
      <c r="L71" s="16"/>
      <c r="M71" s="16"/>
      <c r="N71" s="16"/>
      <c r="O71" s="16"/>
    </row>
    <row r="72" spans="1:15" x14ac:dyDescent="0.2">
      <c r="A72" s="114"/>
      <c r="B72" s="16"/>
      <c r="C72" s="16"/>
      <c r="D72" s="16"/>
      <c r="E72" s="16"/>
      <c r="F72" s="16"/>
      <c r="G72" s="16"/>
      <c r="H72" s="16"/>
      <c r="I72" s="16"/>
      <c r="J72" s="16"/>
      <c r="K72" s="16"/>
      <c r="L72" s="16"/>
      <c r="M72" s="16"/>
      <c r="N72" s="16"/>
      <c r="O72" s="16"/>
    </row>
    <row r="73" spans="1:15" x14ac:dyDescent="0.2">
      <c r="A73" s="114"/>
      <c r="B73" s="16"/>
      <c r="C73" s="16"/>
      <c r="D73" s="16"/>
      <c r="E73" s="16"/>
      <c r="F73" s="16"/>
      <c r="G73" s="16"/>
      <c r="H73" s="16"/>
      <c r="I73" s="16"/>
      <c r="J73" s="16"/>
      <c r="K73" s="16"/>
      <c r="L73" s="16"/>
      <c r="M73" s="16"/>
      <c r="N73" s="16"/>
      <c r="O73" s="16"/>
    </row>
    <row r="74" spans="1:15" x14ac:dyDescent="0.2">
      <c r="A74" s="114"/>
      <c r="B74" s="16"/>
      <c r="C74" s="16"/>
      <c r="D74" s="16"/>
      <c r="E74" s="16"/>
      <c r="F74" s="16"/>
      <c r="G74" s="16"/>
      <c r="H74" s="16"/>
      <c r="I74" s="16"/>
      <c r="J74" s="16"/>
      <c r="K74" s="16"/>
      <c r="L74" s="16"/>
      <c r="M74" s="16"/>
      <c r="N74" s="16"/>
      <c r="O74" s="16"/>
    </row>
    <row r="75" spans="1:15" x14ac:dyDescent="0.2">
      <c r="A75" s="114"/>
      <c r="B75" s="16"/>
      <c r="C75" s="16"/>
      <c r="D75" s="16"/>
      <c r="E75" s="16"/>
      <c r="F75" s="16"/>
      <c r="G75" s="16"/>
      <c r="H75" s="16"/>
      <c r="I75" s="16"/>
      <c r="J75" s="16"/>
      <c r="K75" s="16"/>
      <c r="L75" s="16"/>
      <c r="M75" s="16"/>
      <c r="N75" s="16"/>
      <c r="O75" s="16"/>
    </row>
    <row r="76" spans="1:15" x14ac:dyDescent="0.2">
      <c r="A76" s="114"/>
      <c r="B76" s="16"/>
      <c r="C76" s="16"/>
      <c r="D76" s="16"/>
      <c r="E76" s="16"/>
      <c r="F76" s="16"/>
      <c r="G76" s="16"/>
      <c r="H76" s="16"/>
      <c r="I76" s="16"/>
      <c r="J76" s="16"/>
      <c r="K76" s="16"/>
      <c r="L76" s="16"/>
      <c r="M76" s="16"/>
      <c r="N76" s="16"/>
      <c r="O76" s="16"/>
    </row>
    <row r="77" spans="1:15" x14ac:dyDescent="0.2">
      <c r="A77" s="114"/>
      <c r="B77" s="16"/>
      <c r="C77" s="16"/>
      <c r="D77" s="16"/>
      <c r="E77" s="16"/>
      <c r="F77" s="16"/>
      <c r="G77" s="16"/>
      <c r="H77" s="16"/>
      <c r="I77" s="16"/>
      <c r="J77" s="16"/>
      <c r="K77" s="16"/>
      <c r="L77" s="16"/>
      <c r="M77" s="16"/>
      <c r="N77" s="16"/>
      <c r="O77" s="16"/>
    </row>
    <row r="78" spans="1:15" x14ac:dyDescent="0.2">
      <c r="A78" s="114"/>
      <c r="B78" s="16"/>
      <c r="C78" s="16"/>
      <c r="D78" s="16"/>
      <c r="E78" s="16"/>
      <c r="F78" s="16"/>
      <c r="G78" s="16"/>
      <c r="H78" s="16"/>
      <c r="I78" s="16"/>
      <c r="J78" s="16"/>
      <c r="K78" s="16"/>
      <c r="L78" s="16"/>
      <c r="M78" s="16"/>
      <c r="N78" s="16"/>
      <c r="O78" s="16"/>
    </row>
    <row r="79" spans="1:15" x14ac:dyDescent="0.2">
      <c r="A79" s="114"/>
      <c r="B79" s="16"/>
      <c r="C79" s="16"/>
      <c r="D79" s="16"/>
      <c r="E79" s="16"/>
      <c r="F79" s="16"/>
      <c r="G79" s="16"/>
      <c r="H79" s="16"/>
      <c r="I79" s="16"/>
      <c r="J79" s="16"/>
      <c r="K79" s="16"/>
      <c r="L79" s="16"/>
      <c r="M79" s="16"/>
      <c r="N79" s="16"/>
      <c r="O79" s="16"/>
    </row>
    <row r="80" spans="1:15" x14ac:dyDescent="0.2">
      <c r="A80" s="114"/>
      <c r="B80" s="16"/>
      <c r="C80" s="16"/>
      <c r="D80" s="16"/>
      <c r="E80" s="16"/>
      <c r="F80" s="16"/>
      <c r="G80" s="16"/>
      <c r="H80" s="16"/>
      <c r="I80" s="16"/>
      <c r="J80" s="16"/>
      <c r="K80" s="16"/>
      <c r="L80" s="16"/>
      <c r="M80" s="16"/>
      <c r="N80" s="16"/>
      <c r="O80" s="16"/>
    </row>
    <row r="81" spans="1:15" x14ac:dyDescent="0.2">
      <c r="A81" s="114"/>
      <c r="B81" s="16"/>
      <c r="C81" s="16"/>
      <c r="D81" s="16"/>
      <c r="E81" s="16"/>
      <c r="F81" s="16"/>
      <c r="G81" s="16"/>
      <c r="H81" s="16"/>
      <c r="I81" s="16"/>
      <c r="J81" s="16"/>
      <c r="K81" s="16"/>
      <c r="L81" s="16"/>
      <c r="M81" s="16"/>
      <c r="N81" s="16"/>
      <c r="O81" s="16"/>
    </row>
    <row r="82" spans="1:15" x14ac:dyDescent="0.2">
      <c r="A82" s="114"/>
      <c r="B82" s="16"/>
      <c r="C82" s="16"/>
      <c r="D82" s="16"/>
      <c r="E82" s="16"/>
      <c r="F82" s="16"/>
      <c r="G82" s="16"/>
      <c r="H82" s="16"/>
      <c r="I82" s="16"/>
      <c r="J82" s="16"/>
      <c r="K82" s="16"/>
      <c r="L82" s="16"/>
      <c r="M82" s="16"/>
      <c r="N82" s="16"/>
      <c r="O82" s="16"/>
    </row>
    <row r="83" spans="1:15" x14ac:dyDescent="0.2">
      <c r="A83" s="114"/>
      <c r="B83" s="16"/>
      <c r="C83" s="16"/>
      <c r="D83" s="16"/>
      <c r="E83" s="16"/>
      <c r="F83" s="16"/>
      <c r="G83" s="16"/>
      <c r="H83" s="16"/>
      <c r="I83" s="16"/>
      <c r="J83" s="16"/>
      <c r="K83" s="16"/>
      <c r="L83" s="16"/>
      <c r="M83" s="16"/>
      <c r="N83" s="16"/>
      <c r="O83" s="16"/>
    </row>
    <row r="84" spans="1:15" x14ac:dyDescent="0.2">
      <c r="A84" s="114"/>
      <c r="B84" s="16"/>
      <c r="C84" s="16"/>
      <c r="D84" s="16"/>
      <c r="E84" s="16"/>
      <c r="F84" s="16"/>
      <c r="G84" s="16"/>
      <c r="H84" s="16"/>
      <c r="I84" s="16"/>
      <c r="J84" s="16"/>
      <c r="K84" s="16"/>
      <c r="L84" s="16"/>
      <c r="M84" s="16"/>
      <c r="N84" s="16"/>
      <c r="O84" s="16"/>
    </row>
    <row r="85" spans="1:15" x14ac:dyDescent="0.2">
      <c r="A85" s="114"/>
      <c r="B85" s="16"/>
      <c r="C85" s="16"/>
      <c r="D85" s="16"/>
      <c r="E85" s="16"/>
      <c r="F85" s="16"/>
      <c r="G85" s="16"/>
      <c r="H85" s="16"/>
      <c r="I85" s="16"/>
      <c r="J85" s="16"/>
      <c r="K85" s="16"/>
      <c r="L85" s="16"/>
      <c r="M85" s="16"/>
      <c r="N85" s="16"/>
      <c r="O85" s="16"/>
    </row>
    <row r="86" spans="1:15" x14ac:dyDescent="0.2">
      <c r="A86" s="114"/>
      <c r="B86" s="16"/>
      <c r="C86" s="16"/>
      <c r="D86" s="16"/>
      <c r="E86" s="16"/>
      <c r="F86" s="16"/>
      <c r="G86" s="16"/>
      <c r="H86" s="16"/>
      <c r="I86" s="16"/>
      <c r="J86" s="16"/>
      <c r="K86" s="16"/>
      <c r="L86" s="16"/>
      <c r="M86" s="16"/>
      <c r="N86" s="16"/>
      <c r="O86" s="16"/>
    </row>
    <row r="87" spans="1:15" x14ac:dyDescent="0.2">
      <c r="A87" s="114"/>
      <c r="B87" s="16"/>
      <c r="C87" s="16"/>
      <c r="D87" s="16"/>
      <c r="E87" s="16"/>
      <c r="F87" s="16"/>
      <c r="G87" s="16"/>
      <c r="H87" s="16"/>
      <c r="I87" s="16"/>
      <c r="J87" s="16"/>
      <c r="K87" s="16"/>
      <c r="L87" s="16"/>
      <c r="M87" s="16"/>
      <c r="N87" s="16"/>
      <c r="O87" s="16"/>
    </row>
    <row r="88" spans="1:15" x14ac:dyDescent="0.2">
      <c r="A88" s="114"/>
      <c r="B88" s="16"/>
      <c r="C88" s="16"/>
      <c r="D88" s="16"/>
      <c r="E88" s="16"/>
      <c r="F88" s="16"/>
      <c r="G88" s="16"/>
      <c r="H88" s="16"/>
      <c r="I88" s="16"/>
      <c r="J88" s="16"/>
      <c r="K88" s="16"/>
      <c r="L88" s="16"/>
      <c r="M88" s="16"/>
      <c r="N88" s="16"/>
      <c r="O88" s="16"/>
    </row>
    <row r="89" spans="1:15" x14ac:dyDescent="0.2">
      <c r="A89" s="114"/>
      <c r="B89" s="16"/>
      <c r="C89" s="16"/>
      <c r="D89" s="16"/>
      <c r="E89" s="16"/>
      <c r="F89" s="16"/>
      <c r="G89" s="16"/>
      <c r="H89" s="16"/>
      <c r="I89" s="16"/>
      <c r="J89" s="16"/>
      <c r="K89" s="16"/>
      <c r="L89" s="16"/>
      <c r="M89" s="16"/>
      <c r="N89" s="16"/>
      <c r="O89" s="16"/>
    </row>
    <row r="90" spans="1:15" x14ac:dyDescent="0.2">
      <c r="A90" s="114"/>
      <c r="B90" s="16"/>
      <c r="C90" s="16"/>
      <c r="D90" s="16"/>
      <c r="E90" s="16"/>
      <c r="F90" s="16"/>
      <c r="G90" s="16"/>
      <c r="H90" s="16"/>
      <c r="I90" s="16"/>
      <c r="J90" s="16"/>
      <c r="K90" s="16"/>
      <c r="L90" s="16"/>
      <c r="M90" s="16"/>
      <c r="N90" s="16"/>
      <c r="O90" s="16"/>
    </row>
    <row r="91" spans="1:15" x14ac:dyDescent="0.2">
      <c r="A91" s="114"/>
      <c r="B91" s="16"/>
      <c r="C91" s="16"/>
      <c r="D91" s="16"/>
      <c r="E91" s="16"/>
      <c r="F91" s="16"/>
      <c r="G91" s="16"/>
      <c r="H91" s="16"/>
      <c r="I91" s="16"/>
      <c r="J91" s="16"/>
      <c r="K91" s="16"/>
      <c r="L91" s="16"/>
      <c r="M91" s="16"/>
      <c r="N91" s="16"/>
      <c r="O91" s="16"/>
    </row>
    <row r="92" spans="1:15" x14ac:dyDescent="0.2">
      <c r="A92" s="114"/>
      <c r="B92" s="16"/>
      <c r="C92" s="16"/>
      <c r="D92" s="16"/>
      <c r="E92" s="16"/>
      <c r="F92" s="16"/>
      <c r="G92" s="16"/>
      <c r="H92" s="16"/>
      <c r="I92" s="16"/>
      <c r="J92" s="16"/>
      <c r="K92" s="16"/>
      <c r="L92" s="16"/>
      <c r="M92" s="16"/>
      <c r="N92" s="16"/>
      <c r="O92" s="16"/>
    </row>
    <row r="93" spans="1:15" x14ac:dyDescent="0.2">
      <c r="A93" s="114"/>
      <c r="B93" s="16"/>
      <c r="C93" s="16"/>
      <c r="D93" s="16"/>
      <c r="E93" s="16"/>
      <c r="F93" s="16"/>
      <c r="G93" s="16"/>
      <c r="H93" s="16"/>
      <c r="I93" s="16"/>
      <c r="J93" s="16"/>
      <c r="K93" s="16"/>
      <c r="L93" s="16"/>
      <c r="M93" s="16"/>
      <c r="N93" s="16"/>
      <c r="O93" s="16"/>
    </row>
    <row r="94" spans="1:15" x14ac:dyDescent="0.2">
      <c r="A94" s="114"/>
      <c r="B94" s="16"/>
      <c r="C94" s="16"/>
      <c r="D94" s="16"/>
      <c r="E94" s="16"/>
      <c r="F94" s="16"/>
      <c r="G94" s="16"/>
      <c r="H94" s="16"/>
      <c r="I94" s="16"/>
      <c r="J94" s="16"/>
      <c r="K94" s="16"/>
      <c r="L94" s="16"/>
      <c r="M94" s="16"/>
      <c r="N94" s="16"/>
      <c r="O94" s="16"/>
    </row>
    <row r="95" spans="1:15" x14ac:dyDescent="0.2">
      <c r="A95" s="114"/>
      <c r="B95" s="16"/>
      <c r="C95" s="16"/>
      <c r="D95" s="16"/>
      <c r="E95" s="16"/>
      <c r="F95" s="16"/>
      <c r="G95" s="16"/>
      <c r="H95" s="16"/>
      <c r="I95" s="16"/>
      <c r="J95" s="16"/>
      <c r="K95" s="16"/>
      <c r="L95" s="16"/>
      <c r="M95" s="16"/>
      <c r="N95" s="16"/>
      <c r="O95" s="16"/>
    </row>
    <row r="96" spans="1:15" x14ac:dyDescent="0.2">
      <c r="A96" s="114"/>
      <c r="B96" s="16"/>
      <c r="C96" s="16"/>
      <c r="D96" s="16"/>
      <c r="E96" s="16"/>
      <c r="F96" s="16"/>
      <c r="G96" s="16"/>
      <c r="H96" s="16"/>
      <c r="I96" s="16"/>
      <c r="J96" s="16"/>
      <c r="K96" s="16"/>
      <c r="L96" s="16"/>
      <c r="M96" s="16"/>
      <c r="N96" s="16"/>
      <c r="O96" s="16"/>
    </row>
    <row r="97" spans="1:15" x14ac:dyDescent="0.2">
      <c r="A97" s="114"/>
      <c r="B97" s="16"/>
      <c r="C97" s="16"/>
      <c r="D97" s="16"/>
      <c r="E97" s="16"/>
      <c r="F97" s="16"/>
      <c r="G97" s="16"/>
      <c r="H97" s="16"/>
      <c r="I97" s="16"/>
      <c r="J97" s="16"/>
      <c r="K97" s="16"/>
      <c r="L97" s="16"/>
      <c r="M97" s="16"/>
      <c r="N97" s="16"/>
      <c r="O97" s="16"/>
    </row>
    <row r="98" spans="1:15" x14ac:dyDescent="0.2">
      <c r="A98" s="114"/>
      <c r="B98" s="16"/>
      <c r="C98" s="16"/>
      <c r="D98" s="16"/>
      <c r="E98" s="16"/>
      <c r="F98" s="16"/>
      <c r="G98" s="16"/>
      <c r="H98" s="16"/>
      <c r="I98" s="16"/>
      <c r="J98" s="16"/>
      <c r="K98" s="16"/>
      <c r="L98" s="16"/>
      <c r="M98" s="16"/>
      <c r="N98" s="16"/>
      <c r="O98" s="16"/>
    </row>
    <row r="99" spans="1:15" x14ac:dyDescent="0.2">
      <c r="A99" s="114"/>
      <c r="B99" s="16"/>
      <c r="C99" s="16"/>
      <c r="D99" s="16"/>
      <c r="E99" s="16"/>
      <c r="F99" s="16"/>
      <c r="G99" s="16"/>
      <c r="H99" s="16"/>
      <c r="I99" s="16"/>
      <c r="J99" s="16"/>
      <c r="K99" s="16"/>
      <c r="L99" s="16"/>
      <c r="M99" s="16"/>
      <c r="N99" s="16"/>
      <c r="O99" s="16"/>
    </row>
    <row r="100" spans="1:15" x14ac:dyDescent="0.2">
      <c r="A100" s="114"/>
      <c r="B100" s="16"/>
      <c r="C100" s="16"/>
      <c r="D100" s="16"/>
      <c r="E100" s="16"/>
      <c r="F100" s="16"/>
      <c r="G100" s="16"/>
      <c r="H100" s="16"/>
      <c r="I100" s="16"/>
      <c r="J100" s="16"/>
      <c r="K100" s="16"/>
      <c r="L100" s="16"/>
      <c r="M100" s="16"/>
      <c r="N100" s="16"/>
      <c r="O100" s="16"/>
    </row>
    <row r="101" spans="1:15" x14ac:dyDescent="0.2">
      <c r="A101" s="114"/>
      <c r="B101" s="16"/>
      <c r="C101" s="16"/>
      <c r="D101" s="16"/>
      <c r="E101" s="16"/>
      <c r="F101" s="16"/>
      <c r="G101" s="16"/>
      <c r="H101" s="16"/>
      <c r="I101" s="16"/>
      <c r="J101" s="16"/>
      <c r="K101" s="16"/>
      <c r="L101" s="16"/>
      <c r="M101" s="16"/>
      <c r="N101" s="16"/>
      <c r="O101" s="16"/>
    </row>
    <row r="102" spans="1:15" x14ac:dyDescent="0.2">
      <c r="A102" s="114"/>
      <c r="B102" s="16"/>
      <c r="C102" s="16"/>
      <c r="D102" s="16"/>
      <c r="E102" s="16"/>
      <c r="F102" s="16"/>
      <c r="G102" s="16"/>
      <c r="H102" s="16"/>
      <c r="I102" s="16"/>
      <c r="J102" s="16"/>
      <c r="K102" s="16"/>
      <c r="L102" s="16"/>
      <c r="M102" s="16"/>
      <c r="N102" s="16"/>
      <c r="O102" s="16"/>
    </row>
    <row r="103" spans="1:15" x14ac:dyDescent="0.2">
      <c r="A103" s="114"/>
      <c r="B103" s="16"/>
      <c r="C103" s="16"/>
      <c r="D103" s="16"/>
      <c r="E103" s="16"/>
      <c r="F103" s="16"/>
      <c r="G103" s="16"/>
      <c r="H103" s="16"/>
      <c r="I103" s="16"/>
      <c r="J103" s="16"/>
      <c r="K103" s="16"/>
      <c r="L103" s="16"/>
      <c r="M103" s="16"/>
      <c r="N103" s="16"/>
      <c r="O103" s="16"/>
    </row>
    <row r="104" spans="1:15" x14ac:dyDescent="0.2">
      <c r="A104" s="114"/>
      <c r="B104" s="16"/>
      <c r="C104" s="16"/>
      <c r="D104" s="16"/>
      <c r="E104" s="16"/>
      <c r="F104" s="16"/>
      <c r="G104" s="16"/>
      <c r="H104" s="16"/>
      <c r="I104" s="16"/>
      <c r="J104" s="16"/>
      <c r="K104" s="16"/>
      <c r="L104" s="16"/>
      <c r="M104" s="16"/>
      <c r="N104" s="16"/>
      <c r="O104" s="16"/>
    </row>
    <row r="105" spans="1:15" x14ac:dyDescent="0.2">
      <c r="A105" s="114"/>
      <c r="B105" s="16"/>
      <c r="C105" s="16"/>
      <c r="D105" s="16"/>
      <c r="E105" s="16"/>
      <c r="F105" s="16"/>
      <c r="G105" s="16"/>
      <c r="H105" s="16"/>
      <c r="I105" s="16"/>
      <c r="J105" s="16"/>
      <c r="K105" s="16"/>
      <c r="L105" s="16"/>
      <c r="M105" s="16"/>
      <c r="N105" s="16"/>
      <c r="O105" s="16"/>
    </row>
    <row r="106" spans="1:15" x14ac:dyDescent="0.2">
      <c r="A106" s="114"/>
      <c r="B106" s="16"/>
      <c r="C106" s="16"/>
      <c r="D106" s="16"/>
      <c r="E106" s="16"/>
      <c r="F106" s="16"/>
      <c r="G106" s="16"/>
      <c r="H106" s="16"/>
      <c r="I106" s="16"/>
      <c r="J106" s="16"/>
      <c r="K106" s="16"/>
      <c r="L106" s="16"/>
      <c r="M106" s="16"/>
      <c r="N106" s="16"/>
      <c r="O106" s="16"/>
    </row>
    <row r="107" spans="1:15" x14ac:dyDescent="0.2">
      <c r="A107" s="114"/>
      <c r="B107" s="16"/>
      <c r="C107" s="16"/>
      <c r="D107" s="16"/>
      <c r="E107" s="16"/>
      <c r="F107" s="16"/>
      <c r="G107" s="16"/>
      <c r="H107" s="16"/>
      <c r="I107" s="16"/>
      <c r="J107" s="16"/>
      <c r="K107" s="16"/>
      <c r="L107" s="16"/>
      <c r="M107" s="16"/>
      <c r="N107" s="16"/>
      <c r="O107" s="16"/>
    </row>
    <row r="108" spans="1:15" x14ac:dyDescent="0.2">
      <c r="A108" s="114"/>
      <c r="B108" s="16"/>
      <c r="C108" s="16"/>
      <c r="D108" s="16"/>
      <c r="E108" s="16"/>
      <c r="F108" s="16"/>
      <c r="G108" s="16"/>
      <c r="H108" s="16"/>
      <c r="I108" s="16"/>
      <c r="J108" s="16"/>
      <c r="K108" s="16"/>
      <c r="L108" s="16"/>
      <c r="M108" s="16"/>
      <c r="N108" s="16"/>
      <c r="O108" s="16"/>
    </row>
    <row r="109" spans="1:15" x14ac:dyDescent="0.2">
      <c r="A109" s="114"/>
      <c r="B109" s="16"/>
      <c r="C109" s="16"/>
      <c r="D109" s="16"/>
      <c r="E109" s="16"/>
      <c r="F109" s="16"/>
      <c r="G109" s="16"/>
      <c r="H109" s="16"/>
      <c r="I109" s="16"/>
      <c r="J109" s="16"/>
      <c r="K109" s="16"/>
      <c r="L109" s="16"/>
      <c r="M109" s="16"/>
      <c r="N109" s="16"/>
      <c r="O109" s="16"/>
    </row>
    <row r="110" spans="1:15" x14ac:dyDescent="0.2">
      <c r="A110" s="114"/>
      <c r="B110" s="16"/>
      <c r="C110" s="16"/>
      <c r="D110" s="16"/>
      <c r="E110" s="16"/>
      <c r="F110" s="16"/>
      <c r="G110" s="16"/>
      <c r="H110" s="16"/>
      <c r="I110" s="16"/>
      <c r="J110" s="16"/>
      <c r="K110" s="16"/>
      <c r="L110" s="16"/>
      <c r="M110" s="16"/>
      <c r="N110" s="16"/>
      <c r="O110" s="16"/>
    </row>
    <row r="111" spans="1:15" x14ac:dyDescent="0.2">
      <c r="A111" s="114"/>
      <c r="B111" s="16"/>
      <c r="C111" s="16"/>
      <c r="D111" s="16"/>
      <c r="E111" s="16"/>
      <c r="F111" s="16"/>
      <c r="G111" s="16"/>
      <c r="H111" s="16"/>
      <c r="I111" s="16"/>
      <c r="J111" s="16"/>
      <c r="K111" s="16"/>
      <c r="L111" s="16"/>
      <c r="M111" s="16"/>
      <c r="N111" s="16"/>
      <c r="O111" s="16"/>
    </row>
    <row r="112" spans="1:15" x14ac:dyDescent="0.2">
      <c r="A112" s="114"/>
      <c r="B112" s="16"/>
      <c r="C112" s="16"/>
      <c r="D112" s="16"/>
      <c r="E112" s="16"/>
      <c r="F112" s="16"/>
      <c r="G112" s="16"/>
      <c r="H112" s="16"/>
      <c r="I112" s="16"/>
      <c r="J112" s="16"/>
      <c r="K112" s="16"/>
      <c r="L112" s="16"/>
      <c r="M112" s="16"/>
      <c r="N112" s="16"/>
      <c r="O112" s="16"/>
    </row>
    <row r="113" spans="1:91" x14ac:dyDescent="0.2">
      <c r="A113" s="114"/>
      <c r="B113" s="16"/>
      <c r="C113" s="16"/>
      <c r="D113" s="16"/>
      <c r="E113" s="16"/>
      <c r="F113" s="16"/>
      <c r="G113" s="16"/>
      <c r="H113" s="16"/>
      <c r="I113" s="16"/>
      <c r="J113" s="16"/>
      <c r="K113" s="16"/>
      <c r="L113" s="16"/>
      <c r="M113" s="16"/>
      <c r="N113" s="16"/>
      <c r="O113" s="16"/>
    </row>
    <row r="114" spans="1:91" x14ac:dyDescent="0.2">
      <c r="A114" s="114"/>
      <c r="B114" s="16"/>
      <c r="C114" s="16"/>
      <c r="D114" s="16"/>
      <c r="E114" s="16"/>
      <c r="F114" s="16"/>
      <c r="G114" s="16"/>
      <c r="H114" s="16"/>
      <c r="I114" s="16"/>
      <c r="J114" s="16"/>
      <c r="K114" s="16"/>
      <c r="L114" s="16"/>
      <c r="M114" s="16"/>
      <c r="N114" s="16"/>
      <c r="O114" s="16"/>
    </row>
    <row r="115" spans="1:91" x14ac:dyDescent="0.2">
      <c r="A115" s="114"/>
      <c r="B115" s="16"/>
      <c r="C115" s="16"/>
      <c r="D115" s="16"/>
      <c r="E115" s="16"/>
      <c r="F115" s="16"/>
      <c r="G115" s="16"/>
      <c r="H115" s="16"/>
      <c r="I115" s="16"/>
      <c r="J115" s="16"/>
      <c r="K115" s="16"/>
      <c r="L115" s="16"/>
      <c r="M115" s="16"/>
      <c r="N115" s="16"/>
      <c r="O115" s="16"/>
    </row>
    <row r="116" spans="1:91" x14ac:dyDescent="0.2">
      <c r="A116" s="114"/>
      <c r="B116" s="16"/>
      <c r="C116" s="16"/>
      <c r="D116" s="16"/>
      <c r="E116" s="16"/>
      <c r="F116" s="16"/>
      <c r="G116" s="16"/>
      <c r="H116" s="16"/>
      <c r="I116" s="16"/>
      <c r="J116" s="16"/>
      <c r="K116" s="16"/>
      <c r="L116" s="16"/>
      <c r="M116" s="16"/>
      <c r="N116" s="16"/>
      <c r="O116" s="16"/>
    </row>
    <row r="117" spans="1:91" x14ac:dyDescent="0.2">
      <c r="A117" s="114"/>
      <c r="B117" s="16"/>
      <c r="C117" s="16"/>
      <c r="D117" s="16"/>
      <c r="E117" s="16"/>
      <c r="F117" s="16"/>
      <c r="G117" s="16"/>
      <c r="H117" s="16"/>
      <c r="I117" s="16"/>
      <c r="J117" s="16"/>
      <c r="K117" s="16"/>
      <c r="L117" s="16"/>
      <c r="M117" s="16"/>
      <c r="N117" s="16"/>
      <c r="O117" s="16"/>
    </row>
    <row r="118" spans="1:91" x14ac:dyDescent="0.2">
      <c r="A118" s="114"/>
      <c r="B118" s="16"/>
      <c r="C118" s="16"/>
      <c r="D118" s="16"/>
      <c r="E118" s="16"/>
      <c r="F118" s="16"/>
      <c r="G118" s="16"/>
      <c r="H118" s="16"/>
      <c r="I118" s="16"/>
      <c r="J118" s="16"/>
      <c r="K118" s="16"/>
      <c r="L118" s="16"/>
      <c r="M118" s="16"/>
      <c r="N118" s="16"/>
      <c r="O118" s="16"/>
    </row>
    <row r="119" spans="1:91" x14ac:dyDescent="0.2">
      <c r="A119" s="114"/>
      <c r="B119" s="16"/>
      <c r="C119" s="16"/>
      <c r="D119" s="16"/>
      <c r="E119" s="16"/>
      <c r="F119" s="16"/>
      <c r="G119" s="16"/>
      <c r="H119" s="16"/>
      <c r="I119" s="16"/>
      <c r="J119" s="16"/>
      <c r="K119" s="16"/>
      <c r="L119" s="16"/>
      <c r="M119" s="16"/>
      <c r="N119" s="16"/>
      <c r="O119" s="16"/>
    </row>
    <row r="120" spans="1:91" x14ac:dyDescent="0.2">
      <c r="A120" s="114"/>
      <c r="B120" s="16"/>
      <c r="C120" s="16"/>
      <c r="D120" s="16"/>
      <c r="E120" s="16"/>
      <c r="F120" s="16"/>
      <c r="G120" s="16"/>
      <c r="H120" s="16"/>
      <c r="I120" s="16"/>
      <c r="J120" s="16"/>
      <c r="K120" s="16"/>
      <c r="L120" s="16"/>
      <c r="M120" s="16"/>
      <c r="N120" s="16"/>
      <c r="O120" s="16"/>
    </row>
    <row r="121" spans="1:91" x14ac:dyDescent="0.2">
      <c r="A121" s="114"/>
      <c r="B121" s="16"/>
      <c r="C121" s="16"/>
      <c r="D121" s="16"/>
      <c r="E121" s="16"/>
      <c r="F121" s="16"/>
      <c r="G121" s="16"/>
      <c r="H121" s="16"/>
      <c r="I121" s="16"/>
      <c r="J121" s="16"/>
      <c r="K121" s="16"/>
      <c r="L121" s="16"/>
      <c r="M121" s="16"/>
      <c r="N121" s="16"/>
      <c r="O121" s="16"/>
    </row>
    <row r="122" spans="1:91" x14ac:dyDescent="0.2">
      <c r="A122" s="114"/>
      <c r="B122" s="16"/>
      <c r="C122" s="16"/>
      <c r="D122" s="16"/>
      <c r="E122" s="16"/>
      <c r="F122" s="16"/>
      <c r="G122" s="16"/>
      <c r="H122" s="16"/>
      <c r="I122" s="16"/>
      <c r="J122" s="16"/>
      <c r="K122" s="16"/>
      <c r="L122" s="16"/>
      <c r="M122" s="16"/>
      <c r="N122" s="16"/>
      <c r="O122" s="16"/>
    </row>
    <row r="123" spans="1:91" x14ac:dyDescent="0.2">
      <c r="A123" s="114"/>
      <c r="B123" s="16"/>
      <c r="C123" s="16"/>
      <c r="D123" s="16"/>
      <c r="E123" s="16"/>
      <c r="F123" s="16"/>
      <c r="G123" s="16"/>
      <c r="H123" s="16"/>
      <c r="I123" s="16"/>
      <c r="J123" s="16"/>
      <c r="K123" s="16"/>
      <c r="L123" s="16"/>
      <c r="M123" s="16"/>
      <c r="N123" s="16"/>
      <c r="O123" s="16"/>
    </row>
    <row r="124" spans="1:91" x14ac:dyDescent="0.2">
      <c r="A124" s="114"/>
      <c r="B124" s="16"/>
      <c r="C124" s="16"/>
      <c r="D124" s="16"/>
      <c r="E124" s="16"/>
      <c r="F124" s="16"/>
      <c r="G124" s="16"/>
      <c r="H124" s="16"/>
      <c r="I124" s="16"/>
      <c r="J124" s="16"/>
      <c r="K124" s="16"/>
      <c r="L124" s="16"/>
      <c r="M124" s="16"/>
      <c r="N124" s="16"/>
      <c r="O124" s="16"/>
    </row>
    <row r="125" spans="1:91" x14ac:dyDescent="0.2">
      <c r="A125" s="114"/>
      <c r="B125" s="16"/>
      <c r="C125" s="16"/>
      <c r="D125" s="16"/>
      <c r="E125" s="16"/>
      <c r="F125" s="16"/>
      <c r="G125" s="16"/>
      <c r="H125" s="16"/>
      <c r="I125" s="16"/>
      <c r="J125" s="16"/>
      <c r="K125" s="16"/>
      <c r="L125" s="16"/>
      <c r="M125" s="16"/>
      <c r="N125" s="16"/>
      <c r="O125" s="16"/>
    </row>
    <row r="126" spans="1:91" x14ac:dyDescent="0.2">
      <c r="A126" s="114"/>
      <c r="B126" s="16"/>
      <c r="C126" s="16"/>
      <c r="D126" s="16"/>
      <c r="E126" s="16"/>
      <c r="F126" s="16"/>
      <c r="G126" s="16"/>
      <c r="H126" s="16"/>
      <c r="I126" s="16"/>
      <c r="J126" s="16"/>
      <c r="K126" s="16"/>
      <c r="L126" s="16"/>
      <c r="M126" s="16"/>
      <c r="N126" s="16"/>
      <c r="O126" s="16"/>
      <c r="P126" s="140"/>
    </row>
    <row r="127" spans="1:91" x14ac:dyDescent="0.2">
      <c r="A127" s="141"/>
      <c r="B127" s="16"/>
      <c r="C127" s="16"/>
      <c r="D127" s="16"/>
      <c r="E127" s="16"/>
      <c r="F127" s="16"/>
      <c r="G127" s="16"/>
      <c r="H127" s="16"/>
      <c r="I127" s="16"/>
      <c r="J127" s="16"/>
      <c r="K127" s="16"/>
      <c r="L127" s="16"/>
      <c r="M127" s="16"/>
      <c r="N127" s="16"/>
      <c r="O127" s="16"/>
      <c r="P127" s="140"/>
    </row>
    <row r="128" spans="1:91" ht="15" customHeight="1" x14ac:dyDescent="0.2">
      <c r="P128" s="7"/>
      <c r="Q128" s="140"/>
      <c r="R128" s="140"/>
      <c r="S128" s="140"/>
      <c r="T128" s="140"/>
      <c r="U128" s="140"/>
      <c r="V128" s="140"/>
      <c r="W128" s="140"/>
      <c r="X128" s="140"/>
      <c r="Y128" s="140"/>
      <c r="Z128" s="140"/>
      <c r="AA128" s="140"/>
      <c r="AB128" s="140"/>
      <c r="AC128" s="140"/>
      <c r="AD128" s="140"/>
      <c r="AE128" s="140"/>
      <c r="AF128" s="140"/>
      <c r="AG128" s="140"/>
      <c r="AH128" s="140"/>
      <c r="AI128" s="140"/>
      <c r="AJ128" s="140"/>
      <c r="AK128" s="140"/>
      <c r="AL128" s="140"/>
      <c r="AM128" s="140"/>
      <c r="AN128" s="140"/>
      <c r="AO128" s="140"/>
      <c r="AP128" s="140"/>
      <c r="AQ128" s="140"/>
      <c r="AR128" s="140"/>
      <c r="AS128" s="140"/>
      <c r="AT128" s="140"/>
      <c r="AU128" s="140"/>
      <c r="AV128" s="140"/>
      <c r="AW128" s="140"/>
      <c r="AX128" s="140"/>
      <c r="AY128" s="140"/>
      <c r="AZ128" s="140"/>
      <c r="BA128" s="140"/>
      <c r="BB128" s="140"/>
      <c r="BC128" s="140"/>
      <c r="BD128" s="140"/>
      <c r="BE128" s="140"/>
      <c r="BF128" s="140"/>
      <c r="BG128" s="140"/>
      <c r="BH128" s="140"/>
      <c r="BI128" s="140"/>
      <c r="BJ128" s="140"/>
      <c r="BK128" s="140"/>
      <c r="BL128" s="140"/>
      <c r="BM128" s="140"/>
      <c r="BN128" s="140"/>
      <c r="BO128" s="140"/>
      <c r="BP128" s="140"/>
      <c r="BQ128" s="140"/>
      <c r="BR128" s="140"/>
      <c r="BS128" s="140"/>
      <c r="BT128" s="140"/>
      <c r="BU128" s="140"/>
      <c r="BV128" s="140"/>
      <c r="BW128" s="140"/>
      <c r="BX128" s="140"/>
      <c r="BY128" s="140"/>
      <c r="BZ128" s="140"/>
      <c r="CA128" s="140"/>
      <c r="CB128" s="140"/>
      <c r="CC128" s="140"/>
      <c r="CD128" s="140"/>
      <c r="CE128" s="140"/>
      <c r="CF128" s="140"/>
      <c r="CG128" s="140"/>
      <c r="CH128" s="140"/>
      <c r="CI128" s="140"/>
      <c r="CJ128" s="140"/>
      <c r="CK128" s="140"/>
      <c r="CL128" s="140"/>
      <c r="CM128" s="140"/>
    </row>
    <row r="129" spans="1:91" ht="15" customHeight="1" x14ac:dyDescent="0.2">
      <c r="A129" s="114"/>
      <c r="B129" s="114"/>
      <c r="C129" s="114"/>
      <c r="D129" s="114"/>
      <c r="E129" s="114"/>
      <c r="F129" s="114"/>
      <c r="G129" s="114"/>
      <c r="H129" s="114"/>
      <c r="I129" s="114"/>
      <c r="J129" s="114"/>
      <c r="K129" s="114"/>
      <c r="L129" s="114"/>
      <c r="M129" s="114"/>
      <c r="N129" s="114"/>
      <c r="O129" s="114"/>
      <c r="P129" s="114"/>
      <c r="Q129" s="114"/>
      <c r="R129" s="140"/>
      <c r="S129" s="140"/>
      <c r="T129" s="140"/>
      <c r="U129" s="140"/>
      <c r="V129" s="140"/>
      <c r="W129" s="140"/>
      <c r="X129" s="140"/>
      <c r="Y129" s="140"/>
      <c r="Z129" s="140"/>
      <c r="AA129" s="140"/>
      <c r="AB129" s="140"/>
      <c r="AC129" s="140"/>
      <c r="AD129" s="140"/>
      <c r="AE129" s="140"/>
      <c r="AF129" s="140"/>
      <c r="AG129" s="140"/>
      <c r="AH129" s="140"/>
      <c r="AI129" s="140"/>
      <c r="AJ129" s="140"/>
      <c r="AK129" s="140"/>
      <c r="AL129" s="140"/>
      <c r="AM129" s="140"/>
      <c r="AN129" s="140"/>
      <c r="AO129" s="140"/>
      <c r="AP129" s="140"/>
      <c r="AQ129" s="140"/>
      <c r="AR129" s="140"/>
      <c r="AS129" s="140"/>
      <c r="AT129" s="140"/>
      <c r="AU129" s="140"/>
      <c r="AV129" s="140"/>
      <c r="AW129" s="140"/>
      <c r="AX129" s="140"/>
      <c r="AY129" s="140"/>
      <c r="AZ129" s="140"/>
      <c r="BA129" s="140"/>
      <c r="BB129" s="140"/>
      <c r="BC129" s="140"/>
      <c r="BD129" s="140"/>
      <c r="BE129" s="140"/>
      <c r="BF129" s="140"/>
      <c r="BG129" s="140"/>
      <c r="BH129" s="140"/>
      <c r="BI129" s="140"/>
      <c r="BJ129" s="140"/>
      <c r="BK129" s="140"/>
      <c r="BL129" s="140"/>
      <c r="BM129" s="140"/>
      <c r="BN129" s="140"/>
      <c r="BO129" s="140"/>
      <c r="BP129" s="140"/>
      <c r="BQ129" s="140"/>
      <c r="BR129" s="140"/>
      <c r="BS129" s="140"/>
      <c r="BT129" s="140"/>
      <c r="BU129" s="140"/>
      <c r="BV129" s="140"/>
      <c r="BW129" s="140"/>
      <c r="BX129" s="140"/>
      <c r="BY129" s="140"/>
      <c r="BZ129" s="140"/>
      <c r="CA129" s="140"/>
      <c r="CB129" s="140"/>
      <c r="CC129" s="140"/>
      <c r="CD129" s="140"/>
      <c r="CE129" s="140"/>
      <c r="CF129" s="140"/>
      <c r="CG129" s="140"/>
      <c r="CH129" s="140"/>
      <c r="CI129" s="140"/>
      <c r="CJ129" s="140"/>
      <c r="CK129" s="140"/>
      <c r="CL129" s="140"/>
      <c r="CM129" s="140"/>
    </row>
    <row r="130" spans="1:91" ht="15" customHeight="1" x14ac:dyDescent="0.2">
      <c r="A130" s="114"/>
      <c r="B130" s="114"/>
      <c r="C130" s="114"/>
      <c r="D130" s="114"/>
      <c r="E130" s="114"/>
      <c r="F130" s="114"/>
      <c r="G130" s="114"/>
      <c r="H130" s="114"/>
      <c r="I130" s="114"/>
      <c r="J130" s="114"/>
      <c r="K130" s="114"/>
      <c r="L130" s="114"/>
      <c r="M130" s="114"/>
      <c r="N130" s="114"/>
      <c r="O130" s="114"/>
      <c r="P130" s="114"/>
      <c r="Q130" s="114"/>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row>
    <row r="131" spans="1:91" ht="15" customHeight="1" x14ac:dyDescent="0.2">
      <c r="A131" s="114"/>
      <c r="B131" s="114"/>
      <c r="C131" s="114"/>
      <c r="D131" s="114"/>
      <c r="E131" s="114"/>
      <c r="F131" s="114"/>
      <c r="G131" s="114"/>
      <c r="H131" s="114"/>
      <c r="I131" s="114"/>
      <c r="J131" s="114"/>
      <c r="K131" s="114"/>
      <c r="L131" s="114"/>
      <c r="M131" s="114"/>
      <c r="N131" s="114"/>
      <c r="O131" s="114"/>
      <c r="P131" s="114"/>
      <c r="Q131" s="114"/>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row>
    <row r="132" spans="1:91" ht="15" customHeight="1" x14ac:dyDescent="0.2">
      <c r="A132" s="114"/>
      <c r="B132" s="114"/>
      <c r="C132" s="114"/>
      <c r="D132" s="114"/>
      <c r="E132" s="114"/>
      <c r="F132" s="114"/>
      <c r="G132" s="114"/>
      <c r="H132" s="114"/>
      <c r="I132" s="114"/>
      <c r="J132" s="114"/>
      <c r="K132" s="114"/>
      <c r="L132" s="114"/>
      <c r="M132" s="114"/>
      <c r="N132" s="114"/>
      <c r="O132" s="114"/>
      <c r="P132" s="114"/>
      <c r="Q132" s="114"/>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row>
    <row r="133" spans="1:91" ht="15" customHeight="1" x14ac:dyDescent="0.2">
      <c r="A133" s="114"/>
      <c r="B133" s="114"/>
      <c r="C133" s="114"/>
      <c r="D133" s="114"/>
      <c r="E133" s="114"/>
      <c r="F133" s="114"/>
      <c r="G133" s="114"/>
      <c r="H133" s="114"/>
      <c r="I133" s="114"/>
      <c r="J133" s="114"/>
      <c r="K133" s="114"/>
      <c r="L133" s="114"/>
      <c r="M133" s="114"/>
      <c r="N133" s="114"/>
      <c r="O133" s="114"/>
      <c r="P133" s="114"/>
      <c r="Q133" s="114"/>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row>
    <row r="134" spans="1:91" ht="15" customHeight="1" x14ac:dyDescent="0.2">
      <c r="A134" s="114"/>
      <c r="B134" s="114"/>
      <c r="C134" s="114"/>
      <c r="D134" s="114"/>
      <c r="E134" s="114"/>
      <c r="F134" s="114"/>
      <c r="G134" s="114"/>
      <c r="H134" s="114"/>
      <c r="I134" s="114"/>
      <c r="J134" s="114"/>
      <c r="K134" s="114"/>
      <c r="L134" s="114"/>
      <c r="M134" s="114"/>
      <c r="N134" s="114"/>
      <c r="O134" s="114"/>
      <c r="P134" s="114"/>
      <c r="Q134" s="114"/>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row>
    <row r="135" spans="1:91" ht="15" customHeight="1" x14ac:dyDescent="0.2">
      <c r="A135" s="114"/>
      <c r="B135" s="114"/>
      <c r="C135" s="114"/>
      <c r="D135" s="114"/>
      <c r="E135" s="114"/>
      <c r="F135" s="114"/>
      <c r="G135" s="114"/>
      <c r="H135" s="114"/>
      <c r="I135" s="114"/>
      <c r="J135" s="114"/>
      <c r="K135" s="114"/>
      <c r="L135" s="114"/>
      <c r="M135" s="114"/>
      <c r="N135" s="114"/>
      <c r="O135" s="114"/>
      <c r="P135" s="114"/>
      <c r="Q135" s="114"/>
      <c r="R135" s="140"/>
      <c r="S135" s="140"/>
      <c r="T135" s="140"/>
      <c r="U135" s="140"/>
      <c r="V135" s="140"/>
      <c r="W135" s="140"/>
      <c r="X135" s="140"/>
      <c r="Y135" s="140"/>
      <c r="Z135" s="140"/>
      <c r="AA135" s="140"/>
      <c r="AB135" s="140"/>
      <c r="AC135" s="140"/>
      <c r="AD135" s="140"/>
      <c r="AE135" s="140"/>
      <c r="AF135" s="140"/>
      <c r="AG135" s="140"/>
      <c r="AH135" s="140"/>
      <c r="AI135" s="140"/>
      <c r="AJ135" s="140"/>
      <c r="AK135" s="140"/>
      <c r="AL135" s="140"/>
      <c r="AM135" s="140"/>
      <c r="AN135" s="140"/>
      <c r="AO135" s="140"/>
      <c r="AP135" s="140"/>
      <c r="AQ135" s="140"/>
      <c r="AR135" s="140"/>
      <c r="AS135" s="140"/>
      <c r="AT135" s="140"/>
      <c r="AU135" s="140"/>
      <c r="AV135" s="140"/>
      <c r="AW135" s="140"/>
      <c r="AX135" s="140"/>
      <c r="AY135" s="140"/>
      <c r="AZ135" s="140"/>
      <c r="BA135" s="140"/>
      <c r="BB135" s="140"/>
      <c r="BC135" s="140"/>
      <c r="BD135" s="140"/>
      <c r="BE135" s="140"/>
      <c r="BF135" s="140"/>
      <c r="BG135" s="140"/>
      <c r="BH135" s="140"/>
      <c r="BI135" s="140"/>
      <c r="BJ135" s="140"/>
      <c r="BK135" s="140"/>
      <c r="BL135" s="140"/>
      <c r="BM135" s="140"/>
      <c r="BN135" s="140"/>
      <c r="BO135" s="140"/>
      <c r="BP135" s="140"/>
      <c r="BQ135" s="140"/>
      <c r="BR135" s="140"/>
      <c r="BS135" s="140"/>
      <c r="BT135" s="140"/>
      <c r="BU135" s="140"/>
      <c r="BV135" s="140"/>
      <c r="BW135" s="140"/>
      <c r="BX135" s="140"/>
      <c r="BY135" s="140"/>
      <c r="BZ135" s="140"/>
      <c r="CA135" s="140"/>
      <c r="CB135" s="140"/>
      <c r="CC135" s="140"/>
      <c r="CD135" s="140"/>
      <c r="CE135" s="140"/>
      <c r="CF135" s="140"/>
      <c r="CG135" s="140"/>
      <c r="CH135" s="140"/>
      <c r="CI135" s="140"/>
      <c r="CJ135" s="140"/>
      <c r="CK135" s="140"/>
      <c r="CL135" s="140"/>
      <c r="CM135" s="140"/>
    </row>
    <row r="136" spans="1:91" ht="15" customHeight="1" x14ac:dyDescent="0.2">
      <c r="A136" s="114"/>
      <c r="B136" s="114"/>
      <c r="C136" s="114"/>
      <c r="D136" s="114"/>
      <c r="E136" s="114"/>
      <c r="F136" s="114"/>
      <c r="G136" s="114"/>
      <c r="H136" s="114"/>
      <c r="I136" s="114"/>
      <c r="J136" s="114"/>
      <c r="K136" s="114"/>
      <c r="L136" s="114"/>
      <c r="M136" s="114"/>
      <c r="N136" s="114"/>
      <c r="O136" s="114"/>
      <c r="P136" s="114"/>
      <c r="Q136" s="114"/>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row>
    <row r="137" spans="1:91" ht="15" customHeight="1" x14ac:dyDescent="0.2">
      <c r="A137" s="114"/>
      <c r="B137" s="114"/>
      <c r="C137" s="114"/>
      <c r="D137" s="114"/>
      <c r="E137" s="114"/>
      <c r="F137" s="114"/>
      <c r="G137" s="114"/>
      <c r="H137" s="114"/>
      <c r="I137" s="114"/>
      <c r="J137" s="114"/>
      <c r="K137" s="114"/>
      <c r="L137" s="114"/>
      <c r="M137" s="114"/>
      <c r="N137" s="114"/>
      <c r="O137" s="114"/>
      <c r="P137" s="114"/>
      <c r="Q137" s="114"/>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row>
    <row r="138" spans="1:91" ht="15" customHeight="1" x14ac:dyDescent="0.2">
      <c r="A138" s="114"/>
      <c r="B138" s="114"/>
      <c r="C138" s="114"/>
      <c r="D138" s="114"/>
      <c r="E138" s="114"/>
      <c r="F138" s="114"/>
      <c r="G138" s="114"/>
      <c r="H138" s="114"/>
      <c r="I138" s="114"/>
      <c r="J138" s="114"/>
      <c r="K138" s="114"/>
      <c r="L138" s="114"/>
      <c r="M138" s="114"/>
      <c r="N138" s="114"/>
      <c r="O138" s="114"/>
      <c r="P138" s="114"/>
      <c r="Q138" s="114"/>
      <c r="R138" s="140"/>
      <c r="S138" s="140"/>
      <c r="T138" s="140"/>
      <c r="U138" s="140"/>
      <c r="V138" s="140"/>
      <c r="W138" s="140"/>
      <c r="X138" s="140"/>
      <c r="Y138" s="140"/>
      <c r="Z138" s="140"/>
      <c r="AA138" s="140"/>
      <c r="AB138" s="140"/>
      <c r="AC138" s="140"/>
      <c r="AD138" s="140"/>
      <c r="AE138" s="140"/>
      <c r="AF138" s="140"/>
      <c r="AG138" s="140"/>
      <c r="AH138" s="140"/>
      <c r="AI138" s="140"/>
      <c r="AJ138" s="140"/>
      <c r="AK138" s="140"/>
      <c r="AL138" s="140"/>
      <c r="AM138" s="140"/>
      <c r="AN138" s="140"/>
      <c r="AO138" s="140"/>
      <c r="AP138" s="140"/>
      <c r="AQ138" s="140"/>
      <c r="AR138" s="140"/>
      <c r="AS138" s="140"/>
      <c r="AT138" s="140"/>
      <c r="AU138" s="140"/>
      <c r="AV138" s="140"/>
      <c r="AW138" s="140"/>
      <c r="AX138" s="140"/>
      <c r="AY138" s="140"/>
      <c r="AZ138" s="140"/>
      <c r="BA138" s="140"/>
      <c r="BB138" s="140"/>
      <c r="BC138" s="140"/>
      <c r="BD138" s="140"/>
      <c r="BE138" s="140"/>
      <c r="BF138" s="140"/>
      <c r="BG138" s="140"/>
      <c r="BH138" s="140"/>
      <c r="BI138" s="140"/>
      <c r="BJ138" s="140"/>
      <c r="BK138" s="140"/>
      <c r="BL138" s="140"/>
      <c r="BM138" s="140"/>
      <c r="BN138" s="140"/>
      <c r="BO138" s="140"/>
      <c r="BP138" s="140"/>
      <c r="BQ138" s="140"/>
      <c r="BR138" s="140"/>
      <c r="BS138" s="140"/>
      <c r="BT138" s="140"/>
      <c r="BU138" s="140"/>
      <c r="BV138" s="140"/>
      <c r="BW138" s="140"/>
      <c r="BX138" s="140"/>
      <c r="BY138" s="140"/>
      <c r="BZ138" s="140"/>
      <c r="CA138" s="140"/>
      <c r="CB138" s="140"/>
      <c r="CC138" s="140"/>
      <c r="CD138" s="140"/>
      <c r="CE138" s="140"/>
      <c r="CF138" s="140"/>
      <c r="CG138" s="140"/>
      <c r="CH138" s="140"/>
      <c r="CI138" s="140"/>
      <c r="CJ138" s="140"/>
      <c r="CK138" s="140"/>
      <c r="CL138" s="140"/>
      <c r="CM138" s="140"/>
    </row>
    <row r="139" spans="1:91" ht="15" customHeight="1" x14ac:dyDescent="0.2">
      <c r="A139" s="114"/>
      <c r="B139" s="114"/>
      <c r="C139" s="114"/>
      <c r="D139" s="114"/>
      <c r="E139" s="114"/>
      <c r="F139" s="114"/>
      <c r="G139" s="114"/>
      <c r="H139" s="114"/>
      <c r="I139" s="114"/>
      <c r="J139" s="114"/>
      <c r="K139" s="114"/>
      <c r="L139" s="114"/>
      <c r="M139" s="114"/>
      <c r="N139" s="114"/>
      <c r="O139" s="114"/>
      <c r="P139" s="114"/>
      <c r="Q139" s="114"/>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row>
    <row r="140" spans="1:91" ht="15" customHeight="1" x14ac:dyDescent="0.2">
      <c r="A140" s="114"/>
      <c r="B140" s="114"/>
      <c r="C140" s="114"/>
      <c r="D140" s="114"/>
      <c r="E140" s="114"/>
      <c r="F140" s="114"/>
      <c r="G140" s="114"/>
      <c r="H140" s="114"/>
      <c r="I140" s="114"/>
      <c r="J140" s="114"/>
      <c r="K140" s="114"/>
      <c r="L140" s="114"/>
      <c r="M140" s="114"/>
      <c r="N140" s="114"/>
      <c r="O140" s="114"/>
      <c r="P140" s="114"/>
      <c r="Q140" s="114"/>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row>
    <row r="141" spans="1:91" ht="15" customHeight="1" x14ac:dyDescent="0.2">
      <c r="A141" s="114"/>
      <c r="B141" s="114"/>
      <c r="C141" s="114"/>
      <c r="D141" s="114"/>
      <c r="E141" s="114"/>
      <c r="F141" s="114"/>
      <c r="G141" s="114"/>
      <c r="H141" s="114"/>
      <c r="I141" s="114"/>
      <c r="J141" s="114"/>
      <c r="K141" s="114"/>
      <c r="L141" s="114"/>
      <c r="M141" s="114"/>
      <c r="N141" s="114"/>
      <c r="O141" s="114"/>
      <c r="P141" s="114"/>
      <c r="Q141" s="114"/>
      <c r="R141" s="140"/>
      <c r="S141" s="140"/>
      <c r="T141" s="140"/>
      <c r="U141" s="140"/>
      <c r="V141" s="140"/>
      <c r="W141" s="140"/>
      <c r="X141" s="140"/>
      <c r="Y141" s="140"/>
      <c r="Z141" s="140"/>
      <c r="AA141" s="140"/>
      <c r="AB141" s="140"/>
      <c r="AC141" s="140"/>
      <c r="AD141" s="140"/>
      <c r="AE141" s="140"/>
      <c r="AF141" s="140"/>
      <c r="AG141" s="140"/>
      <c r="AH141" s="140"/>
      <c r="AI141" s="140"/>
      <c r="AJ141" s="140"/>
      <c r="AK141" s="140"/>
      <c r="AL141" s="140"/>
      <c r="AM141" s="140"/>
      <c r="AN141" s="140"/>
      <c r="AO141" s="140"/>
      <c r="AP141" s="140"/>
      <c r="AQ141" s="140"/>
      <c r="AR141" s="140"/>
      <c r="AS141" s="140"/>
      <c r="AT141" s="140"/>
      <c r="AU141" s="140"/>
      <c r="AV141" s="140"/>
      <c r="AW141" s="140"/>
      <c r="AX141" s="140"/>
      <c r="AY141" s="140"/>
      <c r="AZ141" s="140"/>
      <c r="BA141" s="140"/>
      <c r="BB141" s="140"/>
      <c r="BC141" s="140"/>
      <c r="BD141" s="140"/>
      <c r="BE141" s="140"/>
      <c r="BF141" s="140"/>
      <c r="BG141" s="140"/>
      <c r="BH141" s="140"/>
      <c r="BI141" s="140"/>
      <c r="BJ141" s="140"/>
      <c r="BK141" s="140"/>
      <c r="BL141" s="140"/>
      <c r="BM141" s="140"/>
      <c r="BN141" s="140"/>
      <c r="BO141" s="140"/>
      <c r="BP141" s="140"/>
      <c r="BQ141" s="140"/>
      <c r="BR141" s="140"/>
      <c r="BS141" s="140"/>
      <c r="BT141" s="140"/>
      <c r="BU141" s="140"/>
      <c r="BV141" s="140"/>
      <c r="BW141" s="140"/>
      <c r="BX141" s="140"/>
      <c r="BY141" s="140"/>
      <c r="BZ141" s="140"/>
      <c r="CA141" s="140"/>
      <c r="CB141" s="140"/>
      <c r="CC141" s="140"/>
      <c r="CD141" s="140"/>
      <c r="CE141" s="140"/>
      <c r="CF141" s="140"/>
      <c r="CG141" s="140"/>
      <c r="CH141" s="140"/>
      <c r="CI141" s="140"/>
      <c r="CJ141" s="140"/>
      <c r="CK141" s="140"/>
      <c r="CL141" s="140"/>
      <c r="CM141" s="140"/>
    </row>
    <row r="142" spans="1:91" ht="15" customHeight="1" x14ac:dyDescent="0.2">
      <c r="A142" s="114"/>
      <c r="B142" s="114"/>
      <c r="C142" s="114"/>
      <c r="D142" s="114"/>
      <c r="E142" s="114"/>
      <c r="F142" s="114"/>
      <c r="G142" s="114"/>
      <c r="H142" s="114"/>
      <c r="I142" s="114"/>
      <c r="J142" s="114"/>
      <c r="K142" s="114"/>
      <c r="L142" s="114"/>
      <c r="M142" s="114"/>
      <c r="N142" s="114"/>
      <c r="O142" s="114"/>
      <c r="P142" s="114"/>
      <c r="Q142" s="114"/>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row>
    <row r="143" spans="1:91" ht="15" customHeight="1" x14ac:dyDescent="0.2">
      <c r="A143" s="114"/>
      <c r="B143" s="114"/>
      <c r="C143" s="114"/>
      <c r="D143" s="114"/>
      <c r="E143" s="114"/>
      <c r="F143" s="114"/>
      <c r="G143" s="114"/>
      <c r="H143" s="114"/>
      <c r="I143" s="114"/>
      <c r="J143" s="114"/>
      <c r="K143" s="114"/>
      <c r="L143" s="114"/>
      <c r="M143" s="114"/>
      <c r="N143" s="114"/>
      <c r="O143" s="114"/>
      <c r="P143" s="114"/>
      <c r="Q143" s="114"/>
      <c r="R143" s="140"/>
      <c r="S143" s="140"/>
      <c r="T143" s="140"/>
      <c r="U143" s="140"/>
      <c r="V143" s="140"/>
      <c r="W143" s="140"/>
      <c r="X143" s="140"/>
      <c r="Y143" s="140"/>
      <c r="Z143" s="140"/>
      <c r="AA143" s="140"/>
      <c r="AB143" s="140"/>
      <c r="AC143" s="140"/>
      <c r="AD143" s="140"/>
      <c r="AE143" s="140"/>
      <c r="AF143" s="140"/>
      <c r="AG143" s="140"/>
      <c r="AH143" s="140"/>
      <c r="AI143" s="140"/>
      <c r="AJ143" s="140"/>
      <c r="AK143" s="140"/>
      <c r="AL143" s="140"/>
      <c r="AM143" s="140"/>
      <c r="AN143" s="140"/>
      <c r="AO143" s="140"/>
      <c r="AP143" s="140"/>
      <c r="AQ143" s="140"/>
      <c r="AR143" s="140"/>
      <c r="AS143" s="140"/>
      <c r="AT143" s="140"/>
      <c r="AU143" s="140"/>
      <c r="AV143" s="140"/>
      <c r="AW143" s="140"/>
      <c r="AX143" s="140"/>
      <c r="AY143" s="140"/>
      <c r="AZ143" s="140"/>
      <c r="BA143" s="140"/>
      <c r="BB143" s="140"/>
      <c r="BC143" s="140"/>
      <c r="BD143" s="140"/>
      <c r="BE143" s="140"/>
      <c r="BF143" s="140"/>
      <c r="BG143" s="140"/>
      <c r="BH143" s="140"/>
      <c r="BI143" s="140"/>
      <c r="BJ143" s="140"/>
      <c r="BK143" s="140"/>
      <c r="BL143" s="140"/>
      <c r="BM143" s="140"/>
      <c r="BN143" s="140"/>
      <c r="BO143" s="140"/>
      <c r="BP143" s="140"/>
      <c r="BQ143" s="140"/>
      <c r="BR143" s="140"/>
      <c r="BS143" s="140"/>
      <c r="BT143" s="140"/>
      <c r="BU143" s="140"/>
      <c r="BV143" s="140"/>
      <c r="BW143" s="140"/>
      <c r="BX143" s="140"/>
      <c r="BY143" s="140"/>
      <c r="BZ143" s="140"/>
      <c r="CA143" s="140"/>
      <c r="CB143" s="140"/>
      <c r="CC143" s="140"/>
      <c r="CD143" s="140"/>
      <c r="CE143" s="140"/>
      <c r="CF143" s="140"/>
      <c r="CG143" s="140"/>
      <c r="CH143" s="140"/>
      <c r="CI143" s="140"/>
      <c r="CJ143" s="140"/>
      <c r="CK143" s="140"/>
      <c r="CL143" s="140"/>
      <c r="CM143" s="140"/>
    </row>
    <row r="144" spans="1:91" ht="15" customHeight="1" x14ac:dyDescent="0.2">
      <c r="A144" s="114"/>
      <c r="B144" s="114"/>
      <c r="C144" s="114"/>
      <c r="D144" s="114"/>
      <c r="E144" s="114"/>
      <c r="F144" s="114"/>
      <c r="G144" s="114"/>
      <c r="H144" s="114"/>
      <c r="I144" s="114"/>
      <c r="J144" s="114"/>
      <c r="K144" s="114"/>
      <c r="L144" s="114"/>
      <c r="M144" s="114"/>
      <c r="N144" s="114"/>
      <c r="O144" s="114"/>
      <c r="P144" s="114"/>
      <c r="Q144" s="114"/>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row>
    <row r="145" spans="1:91" ht="15" customHeight="1" x14ac:dyDescent="0.2">
      <c r="A145" s="114"/>
      <c r="B145" s="114"/>
      <c r="C145" s="114"/>
      <c r="D145" s="114"/>
      <c r="E145" s="114"/>
      <c r="F145" s="114"/>
      <c r="G145" s="114"/>
      <c r="H145" s="114"/>
      <c r="I145" s="114"/>
      <c r="J145" s="114"/>
      <c r="K145" s="114"/>
      <c r="L145" s="114"/>
      <c r="M145" s="114"/>
      <c r="N145" s="114"/>
      <c r="O145" s="114"/>
      <c r="P145" s="114"/>
      <c r="Q145" s="114"/>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row>
    <row r="146" spans="1:91" ht="15" customHeight="1" x14ac:dyDescent="0.2">
      <c r="A146" s="114"/>
      <c r="B146" s="114"/>
      <c r="C146" s="114"/>
      <c r="D146" s="114"/>
      <c r="E146" s="114"/>
      <c r="F146" s="114"/>
      <c r="G146" s="114"/>
      <c r="H146" s="114"/>
      <c r="I146" s="114"/>
      <c r="J146" s="114"/>
      <c r="K146" s="114"/>
      <c r="L146" s="114"/>
      <c r="M146" s="114"/>
      <c r="N146" s="114"/>
      <c r="O146" s="114"/>
      <c r="P146" s="114"/>
      <c r="Q146" s="114"/>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row>
    <row r="147" spans="1:91" ht="15" customHeight="1" x14ac:dyDescent="0.2">
      <c r="A147" s="114"/>
      <c r="B147" s="114"/>
      <c r="C147" s="114"/>
      <c r="D147" s="114"/>
      <c r="E147" s="114"/>
      <c r="F147" s="114"/>
      <c r="G147" s="114"/>
      <c r="H147" s="114"/>
      <c r="I147" s="114"/>
      <c r="J147" s="114"/>
      <c r="K147" s="114"/>
      <c r="L147" s="114"/>
      <c r="M147" s="114"/>
      <c r="N147" s="114"/>
      <c r="O147" s="114"/>
      <c r="P147" s="114"/>
      <c r="Q147" s="114"/>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row>
    <row r="148" spans="1:91" ht="15" customHeight="1" x14ac:dyDescent="0.2">
      <c r="A148" s="114"/>
      <c r="B148" s="114"/>
      <c r="C148" s="114"/>
      <c r="D148" s="114"/>
      <c r="E148" s="114"/>
      <c r="F148" s="114"/>
      <c r="G148" s="114"/>
      <c r="H148" s="114"/>
      <c r="I148" s="114"/>
      <c r="J148" s="114"/>
      <c r="K148" s="114"/>
      <c r="L148" s="114"/>
      <c r="M148" s="114"/>
      <c r="N148" s="114"/>
      <c r="O148" s="114"/>
      <c r="P148" s="114"/>
      <c r="Q148" s="114"/>
      <c r="R148" s="142"/>
      <c r="S148" s="142"/>
      <c r="T148" s="142"/>
      <c r="U148" s="142"/>
      <c r="V148" s="142"/>
      <c r="W148" s="142"/>
      <c r="X148" s="142"/>
      <c r="Y148" s="142"/>
      <c r="Z148" s="142"/>
      <c r="AA148" s="142"/>
      <c r="AB148" s="142"/>
      <c r="AC148" s="142"/>
      <c r="AD148" s="142"/>
      <c r="AE148" s="142"/>
      <c r="AF148" s="142"/>
      <c r="AG148" s="142"/>
      <c r="AH148" s="142"/>
      <c r="AI148" s="142"/>
      <c r="AJ148" s="142"/>
      <c r="AK148" s="142"/>
      <c r="AL148" s="142"/>
      <c r="AM148" s="142"/>
      <c r="AN148" s="142"/>
      <c r="AO148" s="142"/>
      <c r="AP148" s="142"/>
      <c r="AQ148" s="142"/>
      <c r="AR148" s="142"/>
      <c r="AS148" s="142"/>
      <c r="AT148" s="142"/>
      <c r="AU148" s="142"/>
      <c r="AV148" s="142"/>
      <c r="AW148" s="142"/>
      <c r="AX148" s="142"/>
      <c r="AY148" s="142"/>
      <c r="AZ148" s="142"/>
      <c r="BA148" s="142"/>
      <c r="BB148" s="142"/>
      <c r="BC148" s="142"/>
      <c r="BD148" s="142"/>
      <c r="BE148" s="142"/>
      <c r="BF148" s="142"/>
      <c r="BG148" s="142"/>
      <c r="BH148" s="142"/>
      <c r="BI148" s="142"/>
      <c r="BJ148" s="142"/>
      <c r="BK148" s="142"/>
      <c r="BL148" s="142"/>
      <c r="BM148" s="142"/>
      <c r="BN148" s="142"/>
      <c r="BO148" s="142"/>
      <c r="BP148" s="142"/>
      <c r="BQ148" s="142"/>
      <c r="BR148" s="142"/>
      <c r="BS148" s="142"/>
      <c r="BT148" s="142"/>
      <c r="BU148" s="142"/>
    </row>
    <row r="149" spans="1:91" ht="15" customHeight="1" x14ac:dyDescent="0.2">
      <c r="A149" s="114"/>
      <c r="B149" s="114"/>
      <c r="C149" s="114"/>
      <c r="D149" s="114"/>
      <c r="E149" s="114"/>
      <c r="F149" s="114"/>
      <c r="G149" s="114"/>
      <c r="H149" s="114"/>
      <c r="I149" s="114"/>
      <c r="J149" s="114"/>
      <c r="K149" s="114"/>
      <c r="L149" s="114"/>
      <c r="M149" s="114"/>
      <c r="N149" s="114"/>
      <c r="O149" s="114"/>
      <c r="P149" s="114"/>
      <c r="Q149" s="114"/>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row>
    <row r="150" spans="1:91" ht="15" customHeight="1" x14ac:dyDescent="0.2">
      <c r="A150" s="114"/>
      <c r="B150" s="114"/>
      <c r="C150" s="114"/>
      <c r="D150" s="114"/>
      <c r="E150" s="114"/>
      <c r="F150" s="114"/>
      <c r="G150" s="114"/>
      <c r="H150" s="114"/>
      <c r="I150" s="114"/>
      <c r="J150" s="114"/>
      <c r="K150" s="114"/>
      <c r="L150" s="114"/>
      <c r="M150" s="114"/>
      <c r="N150" s="114"/>
      <c r="O150" s="114"/>
      <c r="P150" s="114"/>
      <c r="Q150" s="114"/>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row>
    <row r="151" spans="1:91" ht="15" customHeight="1" x14ac:dyDescent="0.2">
      <c r="A151" s="114"/>
      <c r="B151" s="114"/>
      <c r="C151" s="114"/>
      <c r="D151" s="114"/>
      <c r="E151" s="114"/>
      <c r="F151" s="114"/>
      <c r="G151" s="114"/>
      <c r="H151" s="114"/>
      <c r="I151" s="114"/>
      <c r="J151" s="114"/>
      <c r="K151" s="114"/>
      <c r="L151" s="114"/>
      <c r="M151" s="114"/>
      <c r="N151" s="114"/>
      <c r="O151" s="114"/>
      <c r="P151" s="114"/>
      <c r="Q151" s="114"/>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row>
    <row r="152" spans="1:91" ht="15" customHeight="1" x14ac:dyDescent="0.2">
      <c r="A152" s="114"/>
      <c r="B152" s="114"/>
      <c r="C152" s="114"/>
      <c r="D152" s="114"/>
      <c r="E152" s="114"/>
      <c r="F152" s="114"/>
      <c r="G152" s="114"/>
      <c r="H152" s="114"/>
      <c r="I152" s="114"/>
      <c r="J152" s="114"/>
      <c r="K152" s="114"/>
      <c r="L152" s="114"/>
      <c r="M152" s="114"/>
      <c r="N152" s="114"/>
      <c r="O152" s="114"/>
      <c r="P152" s="114"/>
      <c r="Q152" s="114"/>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row>
    <row r="153" spans="1:91" ht="15" customHeight="1" x14ac:dyDescent="0.2">
      <c r="A153" s="114"/>
      <c r="B153" s="114"/>
      <c r="C153" s="114"/>
      <c r="D153" s="114"/>
      <c r="E153" s="114"/>
      <c r="F153" s="114"/>
      <c r="G153" s="114"/>
      <c r="H153" s="114"/>
      <c r="I153" s="114"/>
      <c r="J153" s="114"/>
      <c r="K153" s="114"/>
      <c r="L153" s="114"/>
      <c r="M153" s="114"/>
      <c r="N153" s="114"/>
      <c r="O153" s="114"/>
      <c r="P153" s="114"/>
      <c r="Q153" s="114"/>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c r="CM153" s="7"/>
    </row>
    <row r="154" spans="1:91" ht="15" customHeight="1" x14ac:dyDescent="0.2">
      <c r="A154" s="114"/>
      <c r="B154" s="114"/>
      <c r="C154" s="114"/>
      <c r="D154" s="114"/>
      <c r="E154" s="114"/>
      <c r="F154" s="114"/>
      <c r="G154" s="114"/>
      <c r="H154" s="114"/>
      <c r="I154" s="114"/>
      <c r="J154" s="114"/>
      <c r="K154" s="114"/>
      <c r="L154" s="114"/>
      <c r="M154" s="114"/>
      <c r="N154" s="114"/>
      <c r="O154" s="114"/>
      <c r="P154" s="114"/>
      <c r="Q154" s="114"/>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c r="CM154" s="7"/>
    </row>
    <row r="155" spans="1:91" ht="15" customHeight="1" x14ac:dyDescent="0.2">
      <c r="A155" s="114"/>
      <c r="B155" s="114"/>
      <c r="C155" s="114"/>
      <c r="D155" s="114"/>
      <c r="E155" s="114"/>
      <c r="F155" s="114"/>
      <c r="G155" s="114"/>
      <c r="H155" s="114"/>
      <c r="I155" s="114"/>
      <c r="J155" s="114"/>
      <c r="K155" s="114"/>
      <c r="L155" s="114"/>
      <c r="M155" s="114"/>
      <c r="N155" s="114"/>
      <c r="O155" s="114"/>
      <c r="P155" s="114"/>
      <c r="Q155" s="114"/>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c r="CJ155" s="7"/>
      <c r="CK155" s="7"/>
      <c r="CL155" s="7"/>
      <c r="CM155" s="7"/>
    </row>
    <row r="156" spans="1:91" ht="15" customHeight="1" x14ac:dyDescent="0.2">
      <c r="A156" s="114"/>
      <c r="B156" s="114"/>
      <c r="C156" s="114"/>
      <c r="D156" s="114"/>
      <c r="E156" s="114"/>
      <c r="F156" s="114"/>
      <c r="G156" s="114"/>
      <c r="H156" s="114"/>
      <c r="I156" s="114"/>
      <c r="J156" s="114"/>
      <c r="K156" s="114"/>
      <c r="L156" s="114"/>
      <c r="M156" s="114"/>
      <c r="N156" s="114"/>
      <c r="O156" s="114"/>
      <c r="P156" s="114"/>
      <c r="Q156" s="114"/>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c r="BY156" s="7"/>
      <c r="BZ156" s="7"/>
      <c r="CA156" s="7"/>
      <c r="CB156" s="7"/>
      <c r="CC156" s="7"/>
      <c r="CD156" s="7"/>
      <c r="CE156" s="7"/>
      <c r="CF156" s="7"/>
      <c r="CG156" s="7"/>
      <c r="CH156" s="7"/>
      <c r="CI156" s="7"/>
      <c r="CJ156" s="7"/>
      <c r="CK156" s="7"/>
      <c r="CL156" s="7"/>
      <c r="CM156" s="7"/>
    </row>
    <row r="157" spans="1:91" s="126" customFormat="1" ht="15" customHeight="1" x14ac:dyDescent="0.2">
      <c r="A157" s="114"/>
      <c r="B157" s="114"/>
      <c r="C157" s="114"/>
      <c r="D157" s="114"/>
      <c r="E157" s="114"/>
      <c r="F157" s="114"/>
      <c r="G157" s="114"/>
      <c r="H157" s="114"/>
      <c r="I157" s="114"/>
      <c r="J157" s="114"/>
      <c r="K157" s="114"/>
      <c r="L157" s="114"/>
      <c r="M157" s="114"/>
      <c r="N157" s="114"/>
      <c r="O157" s="114"/>
      <c r="P157" s="114"/>
      <c r="Q157" s="114"/>
      <c r="R157" s="127"/>
      <c r="S157" s="127"/>
      <c r="T157" s="127"/>
      <c r="U157" s="127"/>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c r="AT157" s="127"/>
      <c r="AU157" s="127"/>
      <c r="AV157" s="127"/>
      <c r="AW157" s="127"/>
      <c r="AX157" s="127"/>
      <c r="AY157" s="127"/>
      <c r="AZ157" s="127"/>
      <c r="BA157" s="127"/>
      <c r="BB157" s="127"/>
      <c r="BC157" s="127"/>
      <c r="BD157" s="127"/>
      <c r="BE157" s="127"/>
      <c r="BF157" s="127"/>
      <c r="BG157" s="127"/>
      <c r="BH157" s="127"/>
      <c r="BI157" s="127"/>
      <c r="BJ157" s="127"/>
      <c r="BK157" s="127"/>
      <c r="BL157" s="127"/>
      <c r="BM157" s="127"/>
      <c r="BN157" s="127"/>
      <c r="BO157" s="127"/>
      <c r="BP157" s="127"/>
      <c r="BQ157" s="127"/>
      <c r="BR157" s="127"/>
      <c r="BS157" s="127"/>
      <c r="BT157" s="127"/>
      <c r="BU157" s="127"/>
    </row>
    <row r="158" spans="1:91" s="126" customFormat="1" ht="15" customHeight="1" x14ac:dyDescent="0.2">
      <c r="A158" s="114"/>
      <c r="B158" s="114"/>
      <c r="C158" s="114"/>
      <c r="D158" s="114"/>
      <c r="E158" s="114"/>
      <c r="F158" s="114"/>
      <c r="G158" s="114"/>
      <c r="H158" s="114"/>
      <c r="I158" s="114"/>
      <c r="J158" s="114"/>
      <c r="K158" s="114"/>
      <c r="L158" s="114"/>
      <c r="M158" s="114"/>
      <c r="N158" s="114"/>
      <c r="O158" s="114"/>
      <c r="P158" s="114"/>
      <c r="Q158" s="114"/>
      <c r="R158" s="127"/>
      <c r="S158" s="127"/>
      <c r="T158" s="127"/>
      <c r="U158" s="127"/>
      <c r="V158" s="127"/>
      <c r="W158" s="127"/>
      <c r="X158" s="127"/>
      <c r="Y158" s="127"/>
      <c r="Z158" s="127"/>
      <c r="AA158" s="127"/>
      <c r="AB158" s="127"/>
      <c r="AC158" s="127"/>
      <c r="AD158" s="127"/>
      <c r="AE158" s="127"/>
      <c r="AF158" s="127"/>
      <c r="AG158" s="127"/>
      <c r="AH158" s="127"/>
      <c r="AI158" s="127"/>
      <c r="AJ158" s="127"/>
      <c r="AK158" s="127"/>
      <c r="AL158" s="127"/>
      <c r="AM158" s="127"/>
      <c r="AN158" s="127"/>
      <c r="AO158" s="127"/>
      <c r="AP158" s="127"/>
      <c r="AQ158" s="127"/>
      <c r="AR158" s="127"/>
      <c r="AS158" s="127"/>
      <c r="AT158" s="127"/>
      <c r="AU158" s="127"/>
      <c r="AV158" s="127"/>
      <c r="AW158" s="127"/>
      <c r="AX158" s="127"/>
      <c r="AY158" s="127"/>
      <c r="AZ158" s="127"/>
      <c r="BA158" s="127"/>
      <c r="BB158" s="127"/>
      <c r="BC158" s="127"/>
      <c r="BD158" s="127"/>
      <c r="BE158" s="127"/>
      <c r="BF158" s="127"/>
      <c r="BG158" s="127"/>
      <c r="BH158" s="127"/>
      <c r="BI158" s="127"/>
      <c r="BJ158" s="127"/>
      <c r="BK158" s="127"/>
      <c r="BL158" s="127"/>
      <c r="BM158" s="127"/>
      <c r="BN158" s="127"/>
      <c r="BO158" s="127"/>
      <c r="BP158" s="127"/>
      <c r="BQ158" s="127"/>
      <c r="BR158" s="127"/>
      <c r="BS158" s="127"/>
      <c r="BT158" s="127"/>
      <c r="BU158" s="127"/>
    </row>
    <row r="159" spans="1:91" s="126" customFormat="1" ht="15" customHeight="1" x14ac:dyDescent="0.2">
      <c r="A159" s="114"/>
      <c r="B159" s="114"/>
      <c r="C159" s="114"/>
      <c r="D159" s="114"/>
      <c r="E159" s="114"/>
      <c r="F159" s="114"/>
      <c r="G159" s="114"/>
      <c r="H159" s="114"/>
      <c r="I159" s="114"/>
      <c r="J159" s="114"/>
      <c r="K159" s="114"/>
      <c r="L159" s="114"/>
      <c r="M159" s="114"/>
      <c r="N159" s="114"/>
      <c r="O159" s="114"/>
      <c r="P159" s="114"/>
      <c r="Q159" s="114"/>
      <c r="R159" s="127"/>
      <c r="S159" s="127"/>
      <c r="T159" s="127"/>
      <c r="U159" s="127"/>
      <c r="V159" s="127"/>
      <c r="W159" s="127"/>
      <c r="X159" s="127"/>
      <c r="Y159" s="127"/>
      <c r="Z159" s="127"/>
      <c r="AA159" s="127"/>
      <c r="AB159" s="127"/>
      <c r="AC159" s="127"/>
      <c r="AD159" s="127"/>
      <c r="AE159" s="127"/>
      <c r="AF159" s="127"/>
      <c r="AG159" s="127"/>
      <c r="AH159" s="127"/>
      <c r="AI159" s="127"/>
      <c r="AJ159" s="127"/>
      <c r="AK159" s="127"/>
      <c r="AL159" s="127"/>
      <c r="AM159" s="127"/>
      <c r="AN159" s="127"/>
      <c r="AO159" s="127"/>
      <c r="AP159" s="127"/>
      <c r="AQ159" s="127"/>
      <c r="AR159" s="127"/>
      <c r="AS159" s="127"/>
      <c r="AT159" s="127"/>
      <c r="AU159" s="127"/>
      <c r="AV159" s="127"/>
      <c r="AW159" s="127"/>
      <c r="AX159" s="127"/>
      <c r="AY159" s="127"/>
      <c r="AZ159" s="127"/>
      <c r="BA159" s="127"/>
      <c r="BB159" s="127"/>
      <c r="BC159" s="127"/>
      <c r="BD159" s="127"/>
      <c r="BE159" s="127"/>
      <c r="BF159" s="127"/>
      <c r="BG159" s="127"/>
      <c r="BH159" s="127"/>
      <c r="BI159" s="127"/>
      <c r="BJ159" s="127"/>
      <c r="BK159" s="127"/>
      <c r="BL159" s="127"/>
      <c r="BM159" s="127"/>
      <c r="BN159" s="127"/>
      <c r="BO159" s="127"/>
      <c r="BP159" s="127"/>
      <c r="BQ159" s="127"/>
      <c r="BR159" s="127"/>
      <c r="BS159" s="127"/>
      <c r="BT159" s="127"/>
      <c r="BU159" s="127"/>
    </row>
    <row r="160" spans="1:91" ht="15" customHeight="1" x14ac:dyDescent="0.2">
      <c r="A160" s="114"/>
      <c r="B160" s="114"/>
      <c r="C160" s="114"/>
      <c r="D160" s="114"/>
      <c r="E160" s="114"/>
      <c r="F160" s="114"/>
      <c r="G160" s="114"/>
      <c r="H160" s="114"/>
      <c r="I160" s="114"/>
      <c r="J160" s="114"/>
      <c r="K160" s="114"/>
      <c r="L160" s="114"/>
      <c r="M160" s="114"/>
      <c r="N160" s="114"/>
      <c r="O160" s="114"/>
      <c r="P160" s="114"/>
      <c r="Q160" s="114"/>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row>
    <row r="161" spans="1:91" ht="15" customHeight="1" x14ac:dyDescent="0.2">
      <c r="A161" s="114"/>
      <c r="B161" s="114"/>
      <c r="C161" s="114"/>
      <c r="D161" s="114"/>
      <c r="E161" s="114"/>
      <c r="F161" s="114"/>
      <c r="G161" s="114"/>
      <c r="H161" s="114"/>
      <c r="I161" s="114"/>
      <c r="J161" s="114"/>
      <c r="K161" s="114"/>
      <c r="L161" s="114"/>
      <c r="M161" s="114"/>
      <c r="N161" s="114"/>
      <c r="O161" s="114"/>
      <c r="P161" s="114"/>
      <c r="Q161" s="114"/>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row>
    <row r="162" spans="1:91" ht="15" customHeight="1" x14ac:dyDescent="0.2">
      <c r="A162" s="114"/>
      <c r="B162" s="114"/>
      <c r="C162" s="114"/>
      <c r="D162" s="114"/>
      <c r="E162" s="114"/>
      <c r="F162" s="114"/>
      <c r="G162" s="114"/>
      <c r="H162" s="114"/>
      <c r="I162" s="114"/>
      <c r="J162" s="114"/>
      <c r="K162" s="114"/>
      <c r="L162" s="114"/>
      <c r="M162" s="114"/>
      <c r="N162" s="114"/>
      <c r="O162" s="114"/>
      <c r="P162" s="114"/>
      <c r="Q162" s="114"/>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row>
    <row r="163" spans="1:91" ht="15" customHeight="1" x14ac:dyDescent="0.2">
      <c r="A163" s="114"/>
      <c r="B163" s="114"/>
      <c r="C163" s="114"/>
      <c r="D163" s="114"/>
      <c r="E163" s="114"/>
      <c r="F163" s="114"/>
      <c r="G163" s="114"/>
      <c r="H163" s="114"/>
      <c r="I163" s="114"/>
      <c r="J163" s="114"/>
      <c r="K163" s="114"/>
      <c r="L163" s="114"/>
      <c r="M163" s="114"/>
      <c r="N163" s="114"/>
      <c r="O163" s="114"/>
      <c r="P163" s="114"/>
      <c r="Q163" s="114"/>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row>
    <row r="164" spans="1:91" ht="15" customHeight="1" x14ac:dyDescent="0.2">
      <c r="A164" s="114"/>
      <c r="B164" s="114"/>
      <c r="C164" s="114"/>
      <c r="D164" s="114"/>
      <c r="E164" s="114"/>
      <c r="F164" s="114"/>
      <c r="G164" s="114"/>
      <c r="H164" s="114"/>
      <c r="I164" s="114"/>
      <c r="J164" s="114"/>
      <c r="K164" s="114"/>
      <c r="L164" s="114"/>
      <c r="M164" s="114"/>
      <c r="N164" s="114"/>
      <c r="O164" s="114"/>
      <c r="P164" s="114"/>
      <c r="Q164" s="114"/>
      <c r="R164" s="140"/>
      <c r="S164" s="140"/>
      <c r="T164" s="140"/>
      <c r="U164" s="140"/>
      <c r="V164" s="140"/>
      <c r="W164" s="140"/>
      <c r="X164" s="140"/>
      <c r="Y164" s="140"/>
      <c r="Z164" s="140"/>
      <c r="AA164" s="140"/>
      <c r="AB164" s="140"/>
      <c r="AC164" s="140"/>
      <c r="AD164" s="140"/>
      <c r="AE164" s="140"/>
      <c r="AF164" s="140"/>
      <c r="AG164" s="140"/>
      <c r="AH164" s="140"/>
      <c r="AI164" s="140"/>
      <c r="AJ164" s="140"/>
      <c r="AK164" s="140"/>
      <c r="AL164" s="140"/>
      <c r="AM164" s="140"/>
      <c r="AN164" s="140"/>
      <c r="AO164" s="140"/>
      <c r="AP164" s="140"/>
      <c r="AQ164" s="140"/>
      <c r="AR164" s="140"/>
      <c r="AS164" s="140"/>
      <c r="AT164" s="140"/>
      <c r="AU164" s="140"/>
      <c r="AV164" s="140"/>
      <c r="AW164" s="140"/>
      <c r="AX164" s="140"/>
      <c r="AY164" s="140"/>
      <c r="AZ164" s="140"/>
      <c r="BA164" s="140"/>
      <c r="BB164" s="140"/>
      <c r="BC164" s="140"/>
      <c r="BD164" s="140"/>
      <c r="BE164" s="140"/>
      <c r="BF164" s="140"/>
      <c r="BG164" s="140"/>
      <c r="BH164" s="140"/>
      <c r="BI164" s="140"/>
      <c r="BJ164" s="140"/>
      <c r="BK164" s="140"/>
      <c r="BL164" s="140"/>
      <c r="BM164" s="140"/>
      <c r="BN164" s="140"/>
      <c r="BO164" s="140"/>
      <c r="BP164" s="140"/>
      <c r="BQ164" s="140"/>
      <c r="BR164" s="140"/>
      <c r="BS164" s="140"/>
      <c r="BT164" s="140"/>
      <c r="BU164" s="140"/>
      <c r="BV164" s="140"/>
      <c r="BW164" s="140"/>
      <c r="BX164" s="140"/>
      <c r="BY164" s="140"/>
      <c r="BZ164" s="140"/>
      <c r="CA164" s="140"/>
      <c r="CB164" s="140"/>
      <c r="CC164" s="140"/>
      <c r="CD164" s="140"/>
      <c r="CE164" s="140"/>
      <c r="CF164" s="140"/>
      <c r="CG164" s="140"/>
      <c r="CH164" s="140"/>
      <c r="CI164" s="140"/>
      <c r="CJ164" s="140"/>
      <c r="CK164" s="140"/>
      <c r="CL164" s="140"/>
      <c r="CM164" s="140"/>
    </row>
    <row r="165" spans="1:91" ht="15" customHeight="1" x14ac:dyDescent="0.2">
      <c r="A165" s="114"/>
      <c r="B165" s="114"/>
      <c r="C165" s="114"/>
      <c r="D165" s="114"/>
      <c r="E165" s="114"/>
      <c r="F165" s="114"/>
      <c r="G165" s="114"/>
      <c r="H165" s="114"/>
      <c r="I165" s="114"/>
      <c r="J165" s="114"/>
      <c r="K165" s="114"/>
      <c r="L165" s="114"/>
      <c r="M165" s="114"/>
      <c r="N165" s="114"/>
      <c r="O165" s="114"/>
      <c r="P165" s="114"/>
      <c r="Q165" s="114"/>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c r="CM165" s="7"/>
    </row>
    <row r="166" spans="1:91" ht="15" customHeight="1" x14ac:dyDescent="0.2">
      <c r="A166" s="114"/>
      <c r="B166" s="114"/>
      <c r="C166" s="114"/>
      <c r="D166" s="114"/>
      <c r="E166" s="114"/>
      <c r="F166" s="114"/>
      <c r="G166" s="114"/>
      <c r="H166" s="114"/>
      <c r="I166" s="114"/>
      <c r="J166" s="114"/>
      <c r="K166" s="114"/>
      <c r="L166" s="114"/>
      <c r="M166" s="114"/>
      <c r="N166" s="114"/>
      <c r="O166" s="114"/>
      <c r="P166" s="114"/>
      <c r="Q166" s="114"/>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c r="CF166" s="7"/>
      <c r="CG166" s="7"/>
      <c r="CH166" s="7"/>
      <c r="CI166" s="7"/>
      <c r="CJ166" s="7"/>
      <c r="CK166" s="7"/>
      <c r="CL166" s="7"/>
      <c r="CM166" s="7"/>
    </row>
    <row r="167" spans="1:91" ht="15" customHeight="1" x14ac:dyDescent="0.2">
      <c r="A167" s="114"/>
      <c r="B167" s="114"/>
      <c r="C167" s="114"/>
      <c r="D167" s="114"/>
      <c r="E167" s="114"/>
      <c r="F167" s="114"/>
      <c r="G167" s="114"/>
      <c r="H167" s="114"/>
      <c r="I167" s="114"/>
      <c r="J167" s="114"/>
      <c r="K167" s="114"/>
      <c r="L167" s="114"/>
      <c r="M167" s="114"/>
      <c r="N167" s="114"/>
      <c r="O167" s="114"/>
      <c r="P167" s="114"/>
      <c r="Q167" s="114"/>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c r="CF167" s="7"/>
      <c r="CG167" s="7"/>
      <c r="CH167" s="7"/>
      <c r="CI167" s="7"/>
      <c r="CJ167" s="7"/>
      <c r="CK167" s="7"/>
      <c r="CL167" s="7"/>
      <c r="CM167" s="7"/>
    </row>
    <row r="168" spans="1:91" ht="15" customHeight="1" x14ac:dyDescent="0.2">
      <c r="A168" s="114"/>
      <c r="B168" s="114"/>
      <c r="C168" s="114"/>
      <c r="D168" s="114"/>
      <c r="E168" s="114"/>
      <c r="F168" s="114"/>
      <c r="G168" s="114"/>
      <c r="H168" s="114"/>
      <c r="I168" s="114"/>
      <c r="J168" s="114"/>
      <c r="K168" s="114"/>
      <c r="L168" s="114"/>
      <c r="M168" s="114"/>
      <c r="N168" s="114"/>
      <c r="O168" s="114"/>
      <c r="P168" s="114"/>
      <c r="Q168" s="114"/>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row>
    <row r="169" spans="1:91" ht="15" customHeight="1" x14ac:dyDescent="0.2">
      <c r="A169" s="114"/>
      <c r="B169" s="114"/>
      <c r="C169" s="114"/>
      <c r="D169" s="114"/>
      <c r="E169" s="114"/>
      <c r="F169" s="114"/>
      <c r="G169" s="114"/>
      <c r="H169" s="114"/>
      <c r="I169" s="114"/>
      <c r="J169" s="114"/>
      <c r="K169" s="114"/>
      <c r="L169" s="114"/>
      <c r="M169" s="114"/>
      <c r="N169" s="114"/>
      <c r="O169" s="114"/>
      <c r="P169" s="114"/>
      <c r="Q169" s="114"/>
      <c r="R169" s="140"/>
      <c r="S169" s="140"/>
      <c r="T169" s="140"/>
      <c r="U169" s="140"/>
      <c r="V169" s="140"/>
      <c r="W169" s="140"/>
      <c r="X169" s="140"/>
      <c r="Y169" s="140"/>
      <c r="Z169" s="140"/>
      <c r="AA169" s="140"/>
      <c r="AB169" s="140"/>
      <c r="AC169" s="140"/>
      <c r="AD169" s="140"/>
      <c r="AE169" s="140"/>
      <c r="AF169" s="140"/>
      <c r="AG169" s="140"/>
      <c r="AH169" s="140"/>
      <c r="AI169" s="140"/>
      <c r="AJ169" s="140"/>
      <c r="AK169" s="140"/>
      <c r="AL169" s="140"/>
      <c r="AM169" s="140"/>
      <c r="AN169" s="140"/>
      <c r="AO169" s="140"/>
      <c r="AP169" s="140"/>
      <c r="AQ169" s="140"/>
      <c r="AR169" s="140"/>
      <c r="AS169" s="140"/>
      <c r="AT169" s="140"/>
      <c r="AU169" s="140"/>
      <c r="AV169" s="140"/>
      <c r="AW169" s="140"/>
      <c r="AX169" s="140"/>
      <c r="AY169" s="140"/>
      <c r="AZ169" s="140"/>
      <c r="BA169" s="140"/>
      <c r="BB169" s="140"/>
      <c r="BC169" s="140"/>
      <c r="BD169" s="140"/>
      <c r="BE169" s="140"/>
      <c r="BF169" s="140"/>
      <c r="BG169" s="140"/>
      <c r="BH169" s="140"/>
      <c r="BI169" s="140"/>
      <c r="BJ169" s="140"/>
      <c r="BK169" s="140"/>
      <c r="BL169" s="140"/>
      <c r="BM169" s="140"/>
      <c r="BN169" s="140"/>
      <c r="BO169" s="140"/>
      <c r="BP169" s="140"/>
      <c r="BQ169" s="140"/>
      <c r="BR169" s="140"/>
      <c r="BS169" s="140"/>
      <c r="BT169" s="140"/>
      <c r="BU169" s="140"/>
      <c r="BV169" s="140"/>
      <c r="BW169" s="140"/>
      <c r="BX169" s="140"/>
      <c r="BY169" s="140"/>
      <c r="BZ169" s="140"/>
      <c r="CA169" s="140"/>
      <c r="CB169" s="140"/>
      <c r="CC169" s="140"/>
      <c r="CD169" s="140"/>
      <c r="CE169" s="140"/>
      <c r="CF169" s="140"/>
      <c r="CG169" s="140"/>
      <c r="CH169" s="140"/>
      <c r="CI169" s="140"/>
      <c r="CJ169" s="140"/>
      <c r="CK169" s="140"/>
      <c r="CL169" s="140"/>
      <c r="CM169" s="140"/>
    </row>
    <row r="170" spans="1:91" ht="15" customHeight="1" x14ac:dyDescent="0.2">
      <c r="A170" s="114"/>
      <c r="B170" s="114"/>
      <c r="C170" s="114"/>
      <c r="D170" s="114"/>
      <c r="E170" s="114"/>
      <c r="F170" s="114"/>
      <c r="G170" s="114"/>
      <c r="H170" s="114"/>
      <c r="I170" s="114"/>
      <c r="J170" s="114"/>
      <c r="K170" s="114"/>
      <c r="L170" s="114"/>
      <c r="M170" s="114"/>
      <c r="N170" s="114"/>
      <c r="O170" s="114"/>
      <c r="P170" s="114"/>
      <c r="Q170" s="114"/>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c r="BZ170" s="7"/>
      <c r="CA170" s="7"/>
      <c r="CB170" s="7"/>
      <c r="CC170" s="7"/>
      <c r="CD170" s="7"/>
      <c r="CE170" s="7"/>
      <c r="CF170" s="7"/>
      <c r="CG170" s="7"/>
      <c r="CH170" s="7"/>
      <c r="CI170" s="7"/>
      <c r="CJ170" s="7"/>
      <c r="CK170" s="7"/>
      <c r="CL170" s="7"/>
      <c r="CM170" s="7"/>
    </row>
    <row r="171" spans="1:91" ht="15" customHeight="1" x14ac:dyDescent="0.2">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c r="CF171" s="7"/>
      <c r="CG171" s="7"/>
      <c r="CH171" s="7"/>
      <c r="CI171" s="7"/>
      <c r="CJ171" s="7"/>
      <c r="CK171" s="7"/>
      <c r="CL171" s="7"/>
      <c r="CM171" s="7"/>
    </row>
    <row r="172" spans="1:91" ht="15" customHeight="1" x14ac:dyDescent="0.2">
      <c r="P172" s="140"/>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c r="CF172" s="7"/>
      <c r="CG172" s="7"/>
      <c r="CH172" s="7"/>
      <c r="CI172" s="7"/>
      <c r="CJ172" s="7"/>
      <c r="CK172" s="7"/>
      <c r="CL172" s="7"/>
      <c r="CM172" s="7"/>
    </row>
    <row r="173" spans="1:91" ht="15" customHeight="1" x14ac:dyDescent="0.2">
      <c r="P173" s="140"/>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c r="CF173" s="7"/>
      <c r="CG173" s="7"/>
      <c r="CH173" s="7"/>
      <c r="CI173" s="7"/>
      <c r="CJ173" s="7"/>
      <c r="CK173" s="7"/>
      <c r="CL173" s="7"/>
      <c r="CM173" s="7"/>
    </row>
    <row r="174" spans="1:91" ht="15" customHeight="1" x14ac:dyDescent="0.2">
      <c r="P174" s="7"/>
      <c r="Q174" s="140"/>
      <c r="R174" s="140"/>
      <c r="S174" s="140"/>
      <c r="T174" s="140"/>
      <c r="U174" s="140"/>
      <c r="V174" s="140"/>
      <c r="W174" s="140"/>
      <c r="X174" s="140"/>
      <c r="Y174" s="140"/>
      <c r="Z174" s="140"/>
      <c r="AA174" s="140"/>
      <c r="AB174" s="140"/>
      <c r="AC174" s="140"/>
      <c r="AD174" s="140"/>
      <c r="AE174" s="140"/>
      <c r="AF174" s="140"/>
      <c r="AG174" s="140"/>
      <c r="AH174" s="140"/>
      <c r="AI174" s="140"/>
      <c r="AJ174" s="140"/>
      <c r="AK174" s="140"/>
      <c r="AL174" s="140"/>
      <c r="AM174" s="140"/>
      <c r="AN174" s="140"/>
      <c r="AO174" s="140"/>
      <c r="AP174" s="140"/>
      <c r="AQ174" s="140"/>
      <c r="AR174" s="140"/>
      <c r="AS174" s="140"/>
      <c r="AT174" s="140"/>
      <c r="AU174" s="140"/>
      <c r="AV174" s="140"/>
      <c r="AW174" s="140"/>
      <c r="AX174" s="140"/>
      <c r="AY174" s="140"/>
      <c r="AZ174" s="140"/>
      <c r="BA174" s="140"/>
      <c r="BB174" s="140"/>
      <c r="BC174" s="140"/>
      <c r="BD174" s="140"/>
      <c r="BE174" s="140"/>
      <c r="BF174" s="140"/>
      <c r="BG174" s="140"/>
      <c r="BH174" s="140"/>
      <c r="BI174" s="140"/>
      <c r="BJ174" s="140"/>
      <c r="BK174" s="140"/>
      <c r="BL174" s="140"/>
      <c r="BM174" s="140"/>
      <c r="BN174" s="140"/>
      <c r="BO174" s="140"/>
      <c r="BP174" s="140"/>
      <c r="BQ174" s="140"/>
      <c r="BR174" s="140"/>
      <c r="BS174" s="140"/>
      <c r="BT174" s="140"/>
      <c r="BU174" s="140"/>
      <c r="BV174" s="140"/>
      <c r="BW174" s="140"/>
      <c r="BX174" s="140"/>
      <c r="BY174" s="140"/>
      <c r="BZ174" s="140"/>
      <c r="CA174" s="140"/>
      <c r="CB174" s="140"/>
      <c r="CC174" s="140"/>
      <c r="CD174" s="140"/>
      <c r="CE174" s="140"/>
      <c r="CF174" s="140"/>
      <c r="CG174" s="140"/>
      <c r="CH174" s="140"/>
      <c r="CI174" s="140"/>
      <c r="CJ174" s="140"/>
      <c r="CK174" s="140"/>
      <c r="CL174" s="140"/>
      <c r="CM174" s="140"/>
    </row>
    <row r="175" spans="1:91" ht="15" customHeight="1" x14ac:dyDescent="0.2">
      <c r="P175" s="7"/>
      <c r="Q175" s="140"/>
      <c r="R175" s="140"/>
      <c r="S175" s="140"/>
      <c r="T175" s="140"/>
      <c r="U175" s="140"/>
      <c r="V175" s="140"/>
      <c r="W175" s="140"/>
      <c r="X175" s="140"/>
      <c r="Y175" s="140"/>
      <c r="Z175" s="140"/>
      <c r="AA175" s="140"/>
      <c r="AB175" s="140"/>
      <c r="AC175" s="140"/>
      <c r="AD175" s="140"/>
      <c r="AE175" s="140"/>
      <c r="AF175" s="140"/>
      <c r="AG175" s="140"/>
      <c r="AH175" s="140"/>
      <c r="AI175" s="140"/>
      <c r="AJ175" s="140"/>
      <c r="AK175" s="140"/>
      <c r="AL175" s="140"/>
      <c r="AM175" s="140"/>
      <c r="AN175" s="140"/>
      <c r="AO175" s="140"/>
      <c r="AP175" s="140"/>
      <c r="AQ175" s="140"/>
      <c r="AR175" s="140"/>
      <c r="AS175" s="140"/>
      <c r="AT175" s="140"/>
      <c r="AU175" s="140"/>
      <c r="AV175" s="140"/>
      <c r="AW175" s="140"/>
      <c r="AX175" s="140"/>
      <c r="AY175" s="140"/>
      <c r="AZ175" s="140"/>
      <c r="BA175" s="140"/>
      <c r="BB175" s="140"/>
      <c r="BC175" s="140"/>
      <c r="BD175" s="140"/>
      <c r="BE175" s="140"/>
      <c r="BF175" s="140"/>
      <c r="BG175" s="140"/>
      <c r="BH175" s="140"/>
      <c r="BI175" s="140"/>
      <c r="BJ175" s="140"/>
      <c r="BK175" s="140"/>
      <c r="BL175" s="140"/>
      <c r="BM175" s="140"/>
      <c r="BN175" s="140"/>
      <c r="BO175" s="140"/>
      <c r="BP175" s="140"/>
      <c r="BQ175" s="140"/>
      <c r="BR175" s="140"/>
      <c r="BS175" s="140"/>
      <c r="BT175" s="140"/>
      <c r="BU175" s="140"/>
      <c r="BV175" s="140"/>
      <c r="BW175" s="140"/>
      <c r="BX175" s="140"/>
      <c r="BY175" s="140"/>
      <c r="BZ175" s="140"/>
      <c r="CA175" s="140"/>
      <c r="CB175" s="140"/>
      <c r="CC175" s="140"/>
      <c r="CD175" s="140"/>
      <c r="CE175" s="140"/>
      <c r="CF175" s="140"/>
      <c r="CG175" s="140"/>
      <c r="CH175" s="140"/>
      <c r="CI175" s="140"/>
      <c r="CJ175" s="140"/>
      <c r="CK175" s="140"/>
      <c r="CL175" s="140"/>
      <c r="CM175" s="140"/>
    </row>
    <row r="176" spans="1:91" ht="15" customHeight="1" x14ac:dyDescent="0.2">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c r="CM176" s="7"/>
    </row>
    <row r="177" spans="16:92" ht="15" customHeight="1" x14ac:dyDescent="0.2">
      <c r="P177" s="140"/>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row>
    <row r="178" spans="16:92" ht="15" customHeight="1" x14ac:dyDescent="0.2">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c r="CE178" s="7"/>
      <c r="CF178" s="7"/>
      <c r="CG178" s="7"/>
      <c r="CH178" s="7"/>
      <c r="CI178" s="7"/>
      <c r="CJ178" s="7"/>
      <c r="CK178" s="7"/>
      <c r="CL178" s="7"/>
      <c r="CM178" s="7"/>
    </row>
    <row r="179" spans="16:92" ht="15" customHeight="1" x14ac:dyDescent="0.2">
      <c r="P179" s="7"/>
      <c r="Q179" s="140"/>
      <c r="R179" s="140"/>
      <c r="S179" s="140"/>
      <c r="T179" s="140"/>
      <c r="U179" s="140"/>
      <c r="V179" s="140"/>
      <c r="W179" s="140"/>
      <c r="X179" s="140"/>
      <c r="Y179" s="140"/>
      <c r="Z179" s="140"/>
      <c r="AA179" s="140"/>
      <c r="AB179" s="140"/>
      <c r="AC179" s="140"/>
      <c r="AD179" s="140"/>
      <c r="AE179" s="140"/>
      <c r="AF179" s="140"/>
      <c r="AG179" s="140"/>
      <c r="AH179" s="140"/>
      <c r="AI179" s="140"/>
      <c r="AJ179" s="140"/>
      <c r="AK179" s="140"/>
      <c r="AL179" s="140"/>
      <c r="AM179" s="140"/>
      <c r="AN179" s="140"/>
      <c r="AO179" s="140"/>
      <c r="AP179" s="140"/>
      <c r="AQ179" s="140"/>
      <c r="AR179" s="140"/>
      <c r="AS179" s="140"/>
      <c r="AT179" s="140"/>
      <c r="AU179" s="140"/>
      <c r="AV179" s="140"/>
      <c r="AW179" s="140"/>
      <c r="AX179" s="140"/>
      <c r="AY179" s="140"/>
      <c r="AZ179" s="140"/>
      <c r="BA179" s="140"/>
      <c r="BB179" s="140"/>
      <c r="BC179" s="140"/>
      <c r="BD179" s="140"/>
      <c r="BE179" s="140"/>
      <c r="BF179" s="140"/>
      <c r="BG179" s="140"/>
      <c r="BH179" s="140"/>
      <c r="BI179" s="140"/>
      <c r="BJ179" s="140"/>
      <c r="BK179" s="140"/>
      <c r="BL179" s="140"/>
      <c r="BM179" s="140"/>
      <c r="BN179" s="140"/>
      <c r="BO179" s="140"/>
      <c r="BP179" s="140"/>
      <c r="BQ179" s="140"/>
      <c r="BR179" s="140"/>
      <c r="BS179" s="140"/>
      <c r="BT179" s="140"/>
      <c r="BU179" s="140"/>
      <c r="BV179" s="140"/>
      <c r="BW179" s="140"/>
      <c r="BX179" s="140"/>
      <c r="BY179" s="140"/>
      <c r="BZ179" s="140"/>
      <c r="CA179" s="140"/>
      <c r="CB179" s="140"/>
      <c r="CC179" s="140"/>
      <c r="CD179" s="140"/>
      <c r="CE179" s="140"/>
      <c r="CF179" s="140"/>
      <c r="CG179" s="140"/>
      <c r="CH179" s="140"/>
      <c r="CI179" s="140"/>
      <c r="CJ179" s="140"/>
      <c r="CK179" s="140"/>
      <c r="CL179" s="140"/>
      <c r="CM179" s="140"/>
    </row>
    <row r="180" spans="16:92" ht="15" customHeight="1" x14ac:dyDescent="0.2">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c r="CF180" s="7"/>
      <c r="CG180" s="7"/>
      <c r="CH180" s="7"/>
      <c r="CI180" s="7"/>
      <c r="CJ180" s="7"/>
      <c r="CK180" s="7"/>
      <c r="CL180" s="7"/>
      <c r="CM180" s="7"/>
    </row>
    <row r="181" spans="16:92" ht="15" customHeight="1" x14ac:dyDescent="0.2">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7"/>
      <c r="BS181" s="7"/>
      <c r="BT181" s="7"/>
      <c r="BU181" s="7"/>
      <c r="BV181" s="7"/>
      <c r="BW181" s="7"/>
      <c r="BX181" s="7"/>
      <c r="BY181" s="7"/>
      <c r="BZ181" s="7"/>
      <c r="CA181" s="7"/>
      <c r="CB181" s="7"/>
      <c r="CC181" s="7"/>
      <c r="CD181" s="7"/>
      <c r="CE181" s="7"/>
      <c r="CF181" s="7"/>
      <c r="CG181" s="7"/>
      <c r="CH181" s="7"/>
      <c r="CI181" s="7"/>
      <c r="CJ181" s="7"/>
      <c r="CK181" s="7"/>
      <c r="CL181" s="7"/>
      <c r="CM181" s="7"/>
    </row>
    <row r="182" spans="16:92" ht="15" customHeight="1" x14ac:dyDescent="0.2">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c r="BW182" s="7"/>
      <c r="BX182" s="7"/>
      <c r="BY182" s="7"/>
      <c r="BZ182" s="7"/>
      <c r="CA182" s="7"/>
      <c r="CB182" s="7"/>
      <c r="CC182" s="7"/>
      <c r="CD182" s="7"/>
      <c r="CE182" s="7"/>
      <c r="CF182" s="7"/>
      <c r="CG182" s="7"/>
      <c r="CH182" s="7"/>
      <c r="CI182" s="7"/>
      <c r="CJ182" s="7"/>
      <c r="CK182" s="7"/>
      <c r="CL182" s="7"/>
      <c r="CM182" s="7"/>
    </row>
    <row r="183" spans="16:92" ht="15" customHeight="1" x14ac:dyDescent="0.2">
      <c r="P183" s="12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c r="CM183" s="7"/>
    </row>
    <row r="184" spans="16:92" ht="15" customHeight="1" x14ac:dyDescent="0.2">
      <c r="P184" s="12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c r="BS184" s="7"/>
      <c r="BT184" s="7"/>
      <c r="BU184" s="7"/>
    </row>
    <row r="185" spans="16:92" ht="15" customHeight="1" x14ac:dyDescent="0.2">
      <c r="P185" s="143"/>
      <c r="Q185" s="127"/>
      <c r="R185" s="127"/>
      <c r="S185" s="127"/>
      <c r="T185" s="127"/>
      <c r="U185" s="127"/>
      <c r="V185" s="142"/>
      <c r="W185" s="142"/>
      <c r="X185" s="127"/>
      <c r="Y185" s="127"/>
      <c r="Z185" s="127"/>
      <c r="AA185" s="127"/>
      <c r="AB185" s="127"/>
      <c r="AC185" s="127"/>
      <c r="AD185" s="127"/>
      <c r="AE185" s="127"/>
      <c r="AF185" s="127"/>
      <c r="AG185" s="127"/>
      <c r="AH185" s="127"/>
      <c r="AI185" s="127"/>
      <c r="AJ185" s="127"/>
      <c r="AK185" s="127"/>
      <c r="AL185" s="127"/>
      <c r="AM185" s="127"/>
      <c r="AN185" s="127"/>
      <c r="AO185" s="127"/>
      <c r="AP185" s="127"/>
      <c r="AQ185" s="127"/>
      <c r="AR185" s="127"/>
      <c r="AS185" s="127"/>
      <c r="AT185" s="127"/>
      <c r="AU185" s="127"/>
      <c r="AV185" s="127"/>
      <c r="AW185" s="127"/>
      <c r="AX185" s="127"/>
      <c r="AY185" s="127"/>
      <c r="AZ185" s="127"/>
      <c r="BA185" s="127"/>
      <c r="BB185" s="127"/>
      <c r="BC185" s="127"/>
      <c r="BD185" s="127"/>
      <c r="BE185" s="127"/>
      <c r="BF185" s="127"/>
      <c r="BG185" s="127"/>
      <c r="BH185" s="142"/>
      <c r="BI185" s="142"/>
      <c r="BJ185" s="127"/>
      <c r="BK185" s="127"/>
      <c r="BL185" s="127"/>
      <c r="BM185" s="127"/>
      <c r="BN185" s="127"/>
      <c r="BO185" s="127"/>
      <c r="BP185" s="142"/>
      <c r="BQ185" s="142"/>
      <c r="BR185" s="127"/>
      <c r="BS185" s="127"/>
      <c r="BT185" s="127"/>
      <c r="BU185" s="127"/>
    </row>
    <row r="186" spans="16:92" ht="15" customHeight="1" x14ac:dyDescent="0.2">
      <c r="P186" s="143"/>
      <c r="Q186" s="127"/>
      <c r="R186" s="127"/>
      <c r="S186" s="127"/>
      <c r="T186" s="127"/>
      <c r="U186" s="127"/>
      <c r="V186" s="142"/>
      <c r="W186" s="142"/>
      <c r="X186" s="127"/>
      <c r="Y186" s="127"/>
      <c r="Z186" s="127"/>
      <c r="AA186" s="127"/>
      <c r="AB186" s="127"/>
      <c r="AC186" s="127"/>
      <c r="AD186" s="127"/>
      <c r="AE186" s="127"/>
      <c r="AF186" s="127"/>
      <c r="AG186" s="127"/>
      <c r="AH186" s="127"/>
      <c r="AI186" s="127"/>
      <c r="AJ186" s="127"/>
      <c r="AK186" s="127"/>
      <c r="AL186" s="127"/>
      <c r="AM186" s="127"/>
      <c r="AN186" s="127"/>
      <c r="AO186" s="127"/>
      <c r="AP186" s="127"/>
      <c r="AQ186" s="127"/>
      <c r="AR186" s="127"/>
      <c r="AS186" s="127"/>
      <c r="AT186" s="127"/>
      <c r="AU186" s="127"/>
      <c r="AV186" s="127"/>
      <c r="AW186" s="127"/>
      <c r="AX186" s="127"/>
      <c r="AY186" s="127"/>
      <c r="AZ186" s="127"/>
      <c r="BA186" s="127"/>
      <c r="BB186" s="127"/>
      <c r="BC186" s="127"/>
      <c r="BD186" s="127"/>
      <c r="BE186" s="127"/>
      <c r="BF186" s="127"/>
      <c r="BG186" s="127"/>
      <c r="BH186" s="142"/>
      <c r="BI186" s="142"/>
      <c r="BJ186" s="127"/>
      <c r="BK186" s="127"/>
      <c r="BL186" s="127"/>
      <c r="BM186" s="127"/>
      <c r="BN186" s="127"/>
      <c r="BO186" s="127"/>
      <c r="BP186" s="142"/>
      <c r="BQ186" s="142"/>
      <c r="BR186" s="127"/>
      <c r="BS186" s="127"/>
      <c r="BT186" s="127"/>
      <c r="BU186" s="127"/>
    </row>
    <row r="187" spans="16:92" ht="15" customHeight="1" x14ac:dyDescent="0.2">
      <c r="P187" s="143"/>
      <c r="Q187" s="144"/>
      <c r="R187" s="143"/>
      <c r="S187" s="144"/>
      <c r="T187" s="143"/>
      <c r="U187" s="144"/>
      <c r="V187" s="143"/>
      <c r="W187" s="144"/>
      <c r="X187" s="143"/>
      <c r="Y187" s="144"/>
      <c r="Z187" s="143"/>
      <c r="AA187" s="144"/>
      <c r="AB187" s="143"/>
      <c r="AC187" s="144"/>
      <c r="AD187" s="143"/>
      <c r="AE187" s="144"/>
      <c r="AF187" s="143"/>
      <c r="AG187" s="144"/>
      <c r="AH187" s="143"/>
      <c r="AI187" s="144"/>
      <c r="AJ187" s="143"/>
      <c r="AK187" s="144"/>
      <c r="AL187" s="143"/>
      <c r="AM187" s="144"/>
      <c r="AN187" s="143"/>
      <c r="AO187" s="144"/>
      <c r="AP187" s="143"/>
      <c r="AQ187" s="144"/>
      <c r="AR187" s="143"/>
      <c r="AS187" s="144"/>
      <c r="AT187" s="143"/>
      <c r="AU187" s="144"/>
      <c r="AV187" s="143"/>
      <c r="AW187" s="144"/>
      <c r="AX187" s="143"/>
      <c r="AY187" s="144"/>
      <c r="AZ187" s="143"/>
      <c r="BA187" s="144"/>
      <c r="BB187" s="143"/>
      <c r="BC187" s="144"/>
      <c r="BD187" s="143"/>
      <c r="BE187" s="144"/>
      <c r="BF187" s="143"/>
      <c r="BG187" s="144"/>
      <c r="BH187" s="143"/>
      <c r="BI187" s="144"/>
      <c r="BJ187" s="143"/>
      <c r="BK187" s="144"/>
      <c r="BL187" s="143"/>
      <c r="BM187" s="144"/>
      <c r="BN187" s="143"/>
      <c r="BO187" s="144"/>
      <c r="BP187" s="143"/>
      <c r="BQ187" s="144"/>
      <c r="BR187" s="143"/>
      <c r="BS187" s="144"/>
      <c r="BT187" s="143"/>
      <c r="BU187" s="144"/>
      <c r="BV187" s="143"/>
      <c r="BW187" s="144"/>
      <c r="BX187" s="143"/>
      <c r="BY187" s="144"/>
      <c r="BZ187" s="143"/>
      <c r="CA187" s="144"/>
      <c r="CB187" s="143"/>
      <c r="CC187" s="144"/>
      <c r="CD187" s="143"/>
      <c r="CE187" s="144"/>
      <c r="CF187" s="143"/>
      <c r="CG187" s="144"/>
      <c r="CH187" s="143"/>
      <c r="CI187" s="144"/>
      <c r="CJ187" s="143"/>
      <c r="CK187" s="144"/>
      <c r="CL187" s="143"/>
      <c r="CM187" s="144"/>
      <c r="CN187" s="143"/>
    </row>
    <row r="188" spans="16:92" ht="15" customHeight="1" x14ac:dyDescent="0.2">
      <c r="P188" s="143"/>
      <c r="Q188" s="144"/>
      <c r="R188" s="143"/>
      <c r="S188" s="144"/>
      <c r="T188" s="143"/>
      <c r="U188" s="144"/>
      <c r="V188" s="143"/>
      <c r="W188" s="144"/>
      <c r="X188" s="143"/>
      <c r="Y188" s="144"/>
      <c r="Z188" s="143"/>
      <c r="AA188" s="144"/>
      <c r="AB188" s="143"/>
      <c r="AC188" s="144"/>
      <c r="AD188" s="143"/>
      <c r="AE188" s="144"/>
      <c r="AF188" s="143"/>
      <c r="AG188" s="144"/>
      <c r="AH188" s="143"/>
      <c r="AI188" s="144"/>
      <c r="AJ188" s="143"/>
      <c r="AK188" s="144"/>
      <c r="AL188" s="143"/>
      <c r="AM188" s="144"/>
      <c r="AN188" s="143"/>
      <c r="AO188" s="144"/>
      <c r="AP188" s="143"/>
      <c r="AQ188" s="144"/>
      <c r="AR188" s="143"/>
      <c r="AS188" s="144"/>
      <c r="AT188" s="143"/>
      <c r="AU188" s="144"/>
      <c r="AV188" s="143"/>
      <c r="AW188" s="144"/>
      <c r="AX188" s="143"/>
      <c r="AY188" s="144"/>
      <c r="AZ188" s="143"/>
      <c r="BA188" s="144"/>
      <c r="BB188" s="143"/>
      <c r="BC188" s="144"/>
      <c r="BD188" s="143"/>
      <c r="BE188" s="144"/>
      <c r="BF188" s="143"/>
      <c r="BG188" s="144"/>
      <c r="BH188" s="143"/>
      <c r="BI188" s="144"/>
      <c r="BJ188" s="143"/>
      <c r="BK188" s="144"/>
      <c r="BL188" s="143"/>
      <c r="BM188" s="144"/>
      <c r="BN188" s="143"/>
      <c r="BO188" s="144"/>
      <c r="BP188" s="143"/>
      <c r="BQ188" s="144"/>
      <c r="BR188" s="143"/>
      <c r="BS188" s="144"/>
      <c r="BT188" s="143"/>
      <c r="BU188" s="144"/>
      <c r="BV188" s="143"/>
      <c r="BW188" s="144"/>
      <c r="BX188" s="143"/>
      <c r="BY188" s="144"/>
      <c r="BZ188" s="143"/>
      <c r="CA188" s="144"/>
      <c r="CB188" s="143"/>
      <c r="CC188" s="144"/>
      <c r="CD188" s="143"/>
      <c r="CE188" s="144"/>
      <c r="CF188" s="143"/>
      <c r="CG188" s="144"/>
      <c r="CH188" s="143"/>
      <c r="CI188" s="144"/>
      <c r="CJ188" s="143"/>
      <c r="CK188" s="144"/>
      <c r="CL188" s="143"/>
      <c r="CM188" s="144"/>
      <c r="CN188" s="143"/>
    </row>
    <row r="189" spans="16:92" ht="15" customHeight="1" x14ac:dyDescent="0.2">
      <c r="P189" s="143"/>
      <c r="Q189" s="144"/>
      <c r="R189" s="143"/>
      <c r="S189" s="144"/>
      <c r="T189" s="143"/>
      <c r="U189" s="144"/>
      <c r="V189" s="143"/>
      <c r="W189" s="144"/>
      <c r="X189" s="143"/>
      <c r="Y189" s="144"/>
      <c r="Z189" s="143"/>
      <c r="AA189" s="144"/>
      <c r="AB189" s="143"/>
      <c r="AC189" s="144"/>
      <c r="AD189" s="143"/>
      <c r="AE189" s="144"/>
      <c r="AF189" s="143"/>
      <c r="AG189" s="144"/>
      <c r="AH189" s="143"/>
      <c r="AI189" s="144"/>
      <c r="AJ189" s="143"/>
      <c r="AK189" s="144"/>
      <c r="AL189" s="143"/>
      <c r="AM189" s="144"/>
      <c r="AN189" s="143"/>
      <c r="AO189" s="144"/>
      <c r="AP189" s="143"/>
      <c r="AQ189" s="144"/>
      <c r="AR189" s="143"/>
      <c r="AS189" s="144"/>
      <c r="AT189" s="143"/>
      <c r="AU189" s="144"/>
      <c r="AV189" s="143"/>
      <c r="AW189" s="144"/>
      <c r="AX189" s="143"/>
      <c r="AY189" s="144"/>
      <c r="AZ189" s="143"/>
      <c r="BA189" s="144"/>
      <c r="BB189" s="143"/>
      <c r="BC189" s="144"/>
      <c r="BD189" s="143"/>
      <c r="BE189" s="144"/>
      <c r="BF189" s="143"/>
      <c r="BG189" s="144"/>
      <c r="BH189" s="143"/>
      <c r="BI189" s="144"/>
      <c r="BJ189" s="143"/>
      <c r="BK189" s="144"/>
      <c r="BL189" s="143"/>
      <c r="BM189" s="144"/>
      <c r="BN189" s="143"/>
      <c r="BO189" s="144"/>
      <c r="BP189" s="143"/>
      <c r="BQ189" s="144"/>
      <c r="BR189" s="143"/>
      <c r="BS189" s="144"/>
      <c r="BT189" s="143"/>
      <c r="BU189" s="144"/>
      <c r="BV189" s="143"/>
      <c r="BW189" s="144"/>
      <c r="BX189" s="143"/>
      <c r="BY189" s="144"/>
      <c r="BZ189" s="143"/>
      <c r="CA189" s="144"/>
      <c r="CB189" s="143"/>
      <c r="CC189" s="144"/>
      <c r="CD189" s="143"/>
      <c r="CE189" s="144"/>
      <c r="CF189" s="143"/>
      <c r="CG189" s="144"/>
      <c r="CH189" s="143"/>
      <c r="CI189" s="144"/>
      <c r="CJ189" s="143"/>
      <c r="CK189" s="144"/>
      <c r="CL189" s="143"/>
      <c r="CM189" s="144"/>
      <c r="CN189" s="143"/>
    </row>
    <row r="190" spans="16:92" ht="15" customHeight="1" x14ac:dyDescent="0.2">
      <c r="P190" s="143"/>
      <c r="Q190" s="144"/>
      <c r="R190" s="143"/>
      <c r="S190" s="144"/>
      <c r="T190" s="143"/>
      <c r="U190" s="144"/>
      <c r="V190" s="143"/>
      <c r="W190" s="144"/>
      <c r="X190" s="143"/>
      <c r="Y190" s="144"/>
      <c r="Z190" s="143"/>
      <c r="AA190" s="144"/>
      <c r="AB190" s="143"/>
      <c r="AC190" s="144"/>
      <c r="AD190" s="143"/>
      <c r="AE190" s="144"/>
      <c r="AF190" s="143"/>
      <c r="AG190" s="144"/>
      <c r="AH190" s="143"/>
      <c r="AI190" s="144"/>
      <c r="AJ190" s="143"/>
      <c r="AK190" s="144"/>
      <c r="AL190" s="143"/>
      <c r="AM190" s="144"/>
      <c r="AN190" s="143"/>
      <c r="AO190" s="144"/>
      <c r="AP190" s="143"/>
      <c r="AQ190" s="144"/>
      <c r="AR190" s="143"/>
      <c r="AS190" s="144"/>
      <c r="AT190" s="143"/>
      <c r="AU190" s="144"/>
      <c r="AV190" s="143"/>
      <c r="AW190" s="144"/>
      <c r="AX190" s="143"/>
      <c r="AY190" s="144"/>
      <c r="AZ190" s="143"/>
      <c r="BA190" s="144"/>
      <c r="BB190" s="143"/>
      <c r="BC190" s="144"/>
      <c r="BD190" s="143"/>
      <c r="BE190" s="144"/>
      <c r="BF190" s="143"/>
      <c r="BG190" s="144"/>
      <c r="BH190" s="143"/>
      <c r="BI190" s="144"/>
      <c r="BJ190" s="143"/>
      <c r="BK190" s="144"/>
      <c r="BL190" s="143"/>
      <c r="BM190" s="144"/>
      <c r="BN190" s="143"/>
      <c r="BO190" s="144"/>
      <c r="BP190" s="143"/>
      <c r="BQ190" s="144"/>
      <c r="BR190" s="143"/>
      <c r="BS190" s="144"/>
      <c r="BT190" s="143"/>
      <c r="BU190" s="144"/>
      <c r="BV190" s="143"/>
      <c r="BW190" s="144"/>
      <c r="BX190" s="143"/>
      <c r="BY190" s="144"/>
      <c r="BZ190" s="143"/>
      <c r="CA190" s="144"/>
      <c r="CB190" s="143"/>
      <c r="CC190" s="144"/>
      <c r="CD190" s="143"/>
      <c r="CE190" s="144"/>
      <c r="CF190" s="143"/>
      <c r="CG190" s="144"/>
      <c r="CH190" s="143"/>
      <c r="CI190" s="144"/>
      <c r="CJ190" s="143"/>
      <c r="CK190" s="144"/>
      <c r="CL190" s="143"/>
      <c r="CM190" s="144"/>
      <c r="CN190" s="143"/>
    </row>
    <row r="191" spans="16:92" ht="15" customHeight="1" x14ac:dyDescent="0.2">
      <c r="P191" s="143"/>
      <c r="Q191" s="143"/>
      <c r="R191" s="143"/>
      <c r="S191" s="143"/>
      <c r="T191" s="143"/>
      <c r="U191" s="143"/>
      <c r="V191" s="143"/>
      <c r="W191" s="143"/>
      <c r="X191" s="143"/>
      <c r="Y191" s="143"/>
      <c r="Z191" s="143"/>
      <c r="AA191" s="143"/>
      <c r="AB191" s="143"/>
      <c r="AC191" s="143"/>
      <c r="AD191" s="143"/>
      <c r="AE191" s="143"/>
      <c r="AF191" s="143"/>
      <c r="AG191" s="143"/>
      <c r="AH191" s="143"/>
      <c r="AI191" s="143"/>
      <c r="AJ191" s="143"/>
      <c r="AK191" s="143"/>
      <c r="AL191" s="143"/>
      <c r="AM191" s="143"/>
      <c r="AN191" s="143"/>
      <c r="AO191" s="143"/>
      <c r="AP191" s="143"/>
      <c r="AQ191" s="143"/>
      <c r="AR191" s="143"/>
      <c r="AS191" s="143"/>
      <c r="AT191" s="143"/>
      <c r="AU191" s="143"/>
      <c r="AV191" s="143"/>
      <c r="AW191" s="143"/>
      <c r="AX191" s="143"/>
      <c r="AY191" s="143"/>
      <c r="AZ191" s="143"/>
      <c r="BA191" s="143"/>
      <c r="BB191" s="143"/>
      <c r="BC191" s="143"/>
      <c r="BD191" s="143"/>
      <c r="BE191" s="143"/>
      <c r="BF191" s="143"/>
      <c r="BG191" s="143"/>
      <c r="BH191" s="143"/>
      <c r="BI191" s="143"/>
      <c r="BJ191" s="143"/>
      <c r="BK191" s="143"/>
      <c r="BL191" s="143"/>
      <c r="BM191" s="143"/>
      <c r="BN191" s="143"/>
      <c r="BO191" s="143"/>
      <c r="BP191" s="143"/>
      <c r="BQ191" s="143"/>
      <c r="BR191" s="143"/>
      <c r="BS191" s="143"/>
      <c r="BT191" s="143"/>
      <c r="BU191" s="143"/>
      <c r="BV191" s="143"/>
      <c r="BW191" s="143"/>
      <c r="BX191" s="143"/>
      <c r="BY191" s="143"/>
      <c r="BZ191" s="143"/>
      <c r="CA191" s="143"/>
      <c r="CB191" s="143"/>
      <c r="CC191" s="143"/>
      <c r="CD191" s="143"/>
      <c r="CE191" s="143"/>
      <c r="CF191" s="143"/>
      <c r="CG191" s="143"/>
      <c r="CH191" s="143"/>
      <c r="CI191" s="143"/>
      <c r="CJ191" s="143"/>
      <c r="CK191" s="143"/>
      <c r="CL191" s="143"/>
      <c r="CM191" s="143"/>
      <c r="CN191" s="143"/>
    </row>
    <row r="192" spans="16:92" ht="15" customHeight="1" x14ac:dyDescent="0.2">
      <c r="P192" s="143"/>
      <c r="Q192" s="143"/>
      <c r="R192" s="143"/>
      <c r="S192" s="143"/>
      <c r="T192" s="143"/>
      <c r="U192" s="143"/>
      <c r="V192" s="143"/>
      <c r="W192" s="143"/>
      <c r="X192" s="143"/>
      <c r="Y192" s="143"/>
      <c r="Z192" s="143"/>
      <c r="AA192" s="143"/>
      <c r="AB192" s="143"/>
      <c r="AC192" s="143"/>
      <c r="AD192" s="143"/>
      <c r="AE192" s="143"/>
      <c r="AF192" s="143"/>
      <c r="AG192" s="143"/>
      <c r="AH192" s="143"/>
      <c r="AI192" s="143"/>
      <c r="AJ192" s="143"/>
      <c r="AK192" s="143"/>
      <c r="AL192" s="143"/>
      <c r="AM192" s="143"/>
      <c r="AN192" s="143"/>
      <c r="AO192" s="143"/>
      <c r="AP192" s="143"/>
      <c r="AQ192" s="143"/>
      <c r="AR192" s="143"/>
      <c r="AS192" s="143"/>
      <c r="AT192" s="143"/>
      <c r="AU192" s="143"/>
      <c r="AV192" s="143"/>
      <c r="AW192" s="143"/>
      <c r="AX192" s="143"/>
      <c r="AY192" s="143"/>
      <c r="AZ192" s="143"/>
      <c r="BA192" s="143"/>
      <c r="BB192" s="143"/>
      <c r="BC192" s="143"/>
      <c r="BD192" s="143"/>
      <c r="BE192" s="143"/>
      <c r="BF192" s="143"/>
      <c r="BG192" s="143"/>
      <c r="BH192" s="143"/>
      <c r="BI192" s="143"/>
      <c r="BJ192" s="143"/>
      <c r="BK192" s="143"/>
      <c r="BL192" s="143"/>
      <c r="BM192" s="143"/>
      <c r="BN192" s="143"/>
      <c r="BO192" s="143"/>
      <c r="BP192" s="143"/>
      <c r="BQ192" s="143"/>
      <c r="BR192" s="143"/>
      <c r="BS192" s="143"/>
      <c r="BT192" s="143"/>
      <c r="BU192" s="143"/>
      <c r="BV192" s="143"/>
      <c r="BW192" s="143"/>
      <c r="BX192" s="143"/>
      <c r="BY192" s="143"/>
      <c r="BZ192" s="143"/>
      <c r="CA192" s="143"/>
      <c r="CB192" s="143"/>
      <c r="CC192" s="143"/>
      <c r="CD192" s="143"/>
      <c r="CE192" s="143"/>
      <c r="CF192" s="143"/>
      <c r="CG192" s="143"/>
      <c r="CH192" s="143"/>
      <c r="CI192" s="143"/>
      <c r="CJ192" s="143"/>
      <c r="CK192" s="143"/>
      <c r="CL192" s="143"/>
      <c r="CM192" s="143"/>
      <c r="CN192" s="143"/>
    </row>
    <row r="193" spans="16:92" ht="15" customHeight="1" x14ac:dyDescent="0.2">
      <c r="P193" s="143"/>
      <c r="Q193" s="143"/>
      <c r="R193" s="143"/>
      <c r="S193" s="143"/>
      <c r="T193" s="143"/>
      <c r="U193" s="143"/>
      <c r="V193" s="143"/>
      <c r="W193" s="143"/>
      <c r="X193" s="143"/>
      <c r="Y193" s="143"/>
      <c r="Z193" s="143"/>
      <c r="AA193" s="143"/>
      <c r="AB193" s="143"/>
      <c r="AC193" s="143"/>
      <c r="AD193" s="143"/>
      <c r="AE193" s="143"/>
      <c r="AF193" s="143"/>
      <c r="AG193" s="143"/>
      <c r="AH193" s="143"/>
      <c r="AI193" s="143"/>
      <c r="AJ193" s="143"/>
      <c r="AK193" s="143"/>
      <c r="AL193" s="143"/>
      <c r="AM193" s="143"/>
      <c r="AN193" s="143"/>
      <c r="AO193" s="143"/>
      <c r="AP193" s="143"/>
      <c r="AQ193" s="143"/>
      <c r="AR193" s="143"/>
      <c r="AS193" s="143"/>
      <c r="AT193" s="143"/>
      <c r="AU193" s="143"/>
      <c r="AV193" s="143"/>
      <c r="AW193" s="143"/>
      <c r="AX193" s="143"/>
      <c r="AY193" s="143"/>
      <c r="AZ193" s="143"/>
      <c r="BA193" s="143"/>
      <c r="BB193" s="143"/>
      <c r="BC193" s="143"/>
      <c r="BD193" s="143"/>
      <c r="BE193" s="143"/>
      <c r="BF193" s="143"/>
      <c r="BG193" s="143"/>
      <c r="BH193" s="143"/>
      <c r="BI193" s="143"/>
      <c r="BJ193" s="143"/>
      <c r="BK193" s="143"/>
      <c r="BL193" s="143"/>
      <c r="BM193" s="143"/>
      <c r="BN193" s="143"/>
      <c r="BO193" s="143"/>
      <c r="BP193" s="143"/>
      <c r="BQ193" s="143"/>
      <c r="BR193" s="143"/>
      <c r="BS193" s="143"/>
      <c r="BT193" s="143"/>
      <c r="BU193" s="143"/>
      <c r="BV193" s="143"/>
      <c r="BW193" s="143"/>
      <c r="BX193" s="143"/>
      <c r="BY193" s="143"/>
      <c r="BZ193" s="143"/>
      <c r="CA193" s="143"/>
      <c r="CB193" s="143"/>
      <c r="CC193" s="143"/>
      <c r="CD193" s="143"/>
      <c r="CE193" s="143"/>
      <c r="CF193" s="143"/>
      <c r="CG193" s="143"/>
      <c r="CH193" s="143"/>
      <c r="CI193" s="143"/>
      <c r="CJ193" s="143"/>
      <c r="CK193" s="143"/>
      <c r="CL193" s="143"/>
      <c r="CM193" s="143"/>
      <c r="CN193" s="143"/>
    </row>
    <row r="194" spans="16:92" ht="15" customHeight="1" x14ac:dyDescent="0.2">
      <c r="P194" s="143"/>
      <c r="Q194" s="143"/>
      <c r="R194" s="143"/>
      <c r="S194" s="143"/>
      <c r="T194" s="143"/>
      <c r="U194" s="143"/>
      <c r="V194" s="143"/>
      <c r="W194" s="143"/>
      <c r="X194" s="143"/>
      <c r="Y194" s="143"/>
      <c r="Z194" s="143"/>
      <c r="AA194" s="143"/>
      <c r="AB194" s="143"/>
      <c r="AC194" s="143"/>
      <c r="AD194" s="143"/>
      <c r="AE194" s="143"/>
      <c r="AF194" s="143"/>
      <c r="AG194" s="143"/>
      <c r="AH194" s="143"/>
      <c r="AI194" s="143"/>
      <c r="AJ194" s="143"/>
      <c r="AK194" s="143"/>
      <c r="AL194" s="143"/>
      <c r="AM194" s="143"/>
      <c r="AN194" s="143"/>
      <c r="AO194" s="143"/>
      <c r="AP194" s="143"/>
      <c r="AQ194" s="143"/>
      <c r="AR194" s="143"/>
      <c r="AS194" s="143"/>
      <c r="AT194" s="143"/>
      <c r="AU194" s="143"/>
      <c r="AV194" s="143"/>
      <c r="AW194" s="143"/>
      <c r="AX194" s="143"/>
      <c r="AY194" s="143"/>
      <c r="AZ194" s="143"/>
      <c r="BA194" s="143"/>
      <c r="BB194" s="143"/>
      <c r="BC194" s="143"/>
      <c r="BD194" s="143"/>
      <c r="BE194" s="143"/>
      <c r="BF194" s="143"/>
      <c r="BG194" s="143"/>
      <c r="BH194" s="143"/>
      <c r="BI194" s="143"/>
      <c r="BJ194" s="143"/>
      <c r="BK194" s="143"/>
      <c r="BL194" s="143"/>
      <c r="BM194" s="143"/>
      <c r="BN194" s="143"/>
      <c r="BO194" s="143"/>
      <c r="BP194" s="143"/>
      <c r="BQ194" s="143"/>
      <c r="BR194" s="143"/>
      <c r="BS194" s="143"/>
      <c r="BT194" s="143"/>
      <c r="BU194" s="143"/>
      <c r="BV194" s="143"/>
      <c r="BW194" s="143"/>
      <c r="BX194" s="143"/>
      <c r="BY194" s="143"/>
      <c r="BZ194" s="143"/>
      <c r="CA194" s="143"/>
      <c r="CB194" s="143"/>
      <c r="CC194" s="143"/>
      <c r="CD194" s="143"/>
      <c r="CE194" s="143"/>
      <c r="CF194" s="143"/>
      <c r="CG194" s="143"/>
      <c r="CH194" s="143"/>
      <c r="CI194" s="143"/>
      <c r="CJ194" s="143"/>
      <c r="CK194" s="143"/>
      <c r="CL194" s="143"/>
      <c r="CM194" s="143"/>
      <c r="CN194" s="143"/>
    </row>
    <row r="195" spans="16:92" ht="15" customHeight="1" x14ac:dyDescent="0.2">
      <c r="P195" s="143"/>
      <c r="Q195" s="143"/>
      <c r="R195" s="143"/>
      <c r="S195" s="143"/>
      <c r="T195" s="143"/>
      <c r="U195" s="143"/>
      <c r="V195" s="143"/>
      <c r="W195" s="143"/>
      <c r="X195" s="143"/>
      <c r="Y195" s="143"/>
      <c r="Z195" s="143"/>
      <c r="AA195" s="143"/>
      <c r="AB195" s="143"/>
      <c r="AC195" s="143"/>
      <c r="AD195" s="143"/>
      <c r="AE195" s="143"/>
      <c r="AF195" s="143"/>
      <c r="AG195" s="143"/>
      <c r="AH195" s="143"/>
      <c r="AI195" s="143"/>
      <c r="AJ195" s="143"/>
      <c r="AK195" s="143"/>
      <c r="AL195" s="143"/>
      <c r="AM195" s="143"/>
      <c r="AN195" s="143"/>
      <c r="AO195" s="143"/>
      <c r="AP195" s="143"/>
      <c r="AQ195" s="143"/>
      <c r="AR195" s="143"/>
      <c r="AS195" s="143"/>
      <c r="AT195" s="143"/>
      <c r="AU195" s="143"/>
      <c r="AV195" s="143"/>
      <c r="AW195" s="143"/>
      <c r="AX195" s="143"/>
      <c r="AY195" s="143"/>
      <c r="AZ195" s="143"/>
      <c r="BA195" s="143"/>
      <c r="BB195" s="143"/>
      <c r="BC195" s="143"/>
      <c r="BD195" s="143"/>
      <c r="BE195" s="143"/>
      <c r="BF195" s="143"/>
      <c r="BG195" s="143"/>
      <c r="BH195" s="143"/>
      <c r="BI195" s="143"/>
      <c r="BJ195" s="143"/>
      <c r="BK195" s="143"/>
      <c r="BL195" s="143"/>
      <c r="BM195" s="143"/>
      <c r="BN195" s="143"/>
      <c r="BO195" s="143"/>
      <c r="BP195" s="143"/>
      <c r="BQ195" s="143"/>
      <c r="BR195" s="143"/>
      <c r="BS195" s="143"/>
      <c r="BT195" s="143"/>
      <c r="BU195" s="143"/>
      <c r="BV195" s="143"/>
      <c r="BW195" s="143"/>
      <c r="BX195" s="143"/>
      <c r="BY195" s="143"/>
      <c r="BZ195" s="143"/>
      <c r="CA195" s="143"/>
      <c r="CB195" s="143"/>
      <c r="CC195" s="143"/>
      <c r="CD195" s="143"/>
      <c r="CE195" s="143"/>
      <c r="CF195" s="143"/>
      <c r="CG195" s="143"/>
      <c r="CH195" s="143"/>
      <c r="CI195" s="143"/>
      <c r="CJ195" s="143"/>
      <c r="CK195" s="143"/>
      <c r="CL195" s="143"/>
      <c r="CM195" s="143"/>
      <c r="CN195" s="143"/>
    </row>
    <row r="196" spans="16:92" ht="15" customHeight="1" x14ac:dyDescent="0.2">
      <c r="P196" s="143"/>
      <c r="Q196" s="143"/>
      <c r="R196" s="143"/>
      <c r="S196" s="143"/>
      <c r="T196" s="143"/>
      <c r="U196" s="143"/>
      <c r="V196" s="143"/>
      <c r="W196" s="143"/>
      <c r="X196" s="143"/>
      <c r="Y196" s="143"/>
      <c r="Z196" s="143"/>
      <c r="AA196" s="143"/>
      <c r="AB196" s="143"/>
      <c r="AC196" s="143"/>
      <c r="AD196" s="143"/>
      <c r="AE196" s="143"/>
      <c r="AF196" s="143"/>
      <c r="AG196" s="143"/>
      <c r="AH196" s="143"/>
      <c r="AI196" s="143"/>
      <c r="AJ196" s="143"/>
      <c r="AK196" s="143"/>
      <c r="AL196" s="143"/>
      <c r="AM196" s="143"/>
      <c r="AN196" s="143"/>
      <c r="AO196" s="143"/>
      <c r="AP196" s="143"/>
      <c r="AQ196" s="143"/>
      <c r="AR196" s="143"/>
      <c r="AS196" s="143"/>
      <c r="AT196" s="143"/>
      <c r="AU196" s="143"/>
      <c r="AV196" s="143"/>
      <c r="AW196" s="143"/>
      <c r="AX196" s="143"/>
      <c r="AY196" s="143"/>
      <c r="AZ196" s="143"/>
      <c r="BA196" s="143"/>
      <c r="BB196" s="143"/>
      <c r="BC196" s="143"/>
      <c r="BD196" s="143"/>
      <c r="BE196" s="143"/>
      <c r="BF196" s="143"/>
      <c r="BG196" s="143"/>
      <c r="BH196" s="143"/>
      <c r="BI196" s="143"/>
      <c r="BJ196" s="143"/>
      <c r="BK196" s="143"/>
      <c r="BL196" s="143"/>
      <c r="BM196" s="143"/>
      <c r="BN196" s="143"/>
      <c r="BO196" s="143"/>
      <c r="BP196" s="143"/>
      <c r="BQ196" s="143"/>
      <c r="BR196" s="143"/>
      <c r="BS196" s="143"/>
      <c r="BT196" s="143"/>
      <c r="BU196" s="143"/>
      <c r="BV196" s="143"/>
      <c r="BW196" s="143"/>
      <c r="BX196" s="143"/>
      <c r="BY196" s="143"/>
      <c r="BZ196" s="143"/>
      <c r="CA196" s="143"/>
      <c r="CB196" s="143"/>
      <c r="CC196" s="143"/>
      <c r="CD196" s="143"/>
      <c r="CE196" s="143"/>
      <c r="CF196" s="143"/>
      <c r="CG196" s="143"/>
      <c r="CH196" s="143"/>
      <c r="CI196" s="143"/>
      <c r="CJ196" s="143"/>
      <c r="CK196" s="143"/>
      <c r="CL196" s="143"/>
      <c r="CM196" s="143"/>
      <c r="CN196" s="143"/>
    </row>
    <row r="197" spans="16:92" ht="15" customHeight="1" x14ac:dyDescent="0.2">
      <c r="P197" s="143"/>
      <c r="Q197" s="143"/>
      <c r="R197" s="143"/>
      <c r="S197" s="143"/>
      <c r="T197" s="143"/>
      <c r="U197" s="143"/>
      <c r="V197" s="143"/>
      <c r="W197" s="143"/>
      <c r="X197" s="143"/>
      <c r="Y197" s="143"/>
      <c r="Z197" s="143"/>
      <c r="AA197" s="143"/>
      <c r="AB197" s="143"/>
      <c r="AC197" s="143"/>
      <c r="AD197" s="143"/>
      <c r="AE197" s="143"/>
      <c r="AF197" s="143"/>
      <c r="AG197" s="143"/>
      <c r="AH197" s="143"/>
      <c r="AI197" s="143"/>
      <c r="AJ197" s="143"/>
      <c r="AK197" s="143"/>
      <c r="AL197" s="143"/>
      <c r="AM197" s="143"/>
      <c r="AN197" s="143"/>
      <c r="AO197" s="143"/>
      <c r="AP197" s="143"/>
      <c r="AQ197" s="143"/>
      <c r="AR197" s="143"/>
      <c r="AS197" s="143"/>
      <c r="AT197" s="143"/>
      <c r="AU197" s="143"/>
      <c r="AV197" s="143"/>
      <c r="AW197" s="143"/>
      <c r="AX197" s="143"/>
      <c r="AY197" s="143"/>
      <c r="AZ197" s="143"/>
      <c r="BA197" s="143"/>
      <c r="BB197" s="143"/>
      <c r="BC197" s="143"/>
      <c r="BD197" s="143"/>
      <c r="BE197" s="143"/>
      <c r="BF197" s="143"/>
      <c r="BG197" s="143"/>
      <c r="BH197" s="143"/>
      <c r="BI197" s="143"/>
      <c r="BJ197" s="143"/>
      <c r="BK197" s="143"/>
      <c r="BL197" s="143"/>
      <c r="BM197" s="143"/>
      <c r="BN197" s="143"/>
      <c r="BO197" s="143"/>
      <c r="BP197" s="143"/>
      <c r="BQ197" s="143"/>
      <c r="BR197" s="143"/>
      <c r="BS197" s="143"/>
      <c r="BT197" s="143"/>
      <c r="BU197" s="143"/>
      <c r="BV197" s="143"/>
      <c r="BW197" s="143"/>
      <c r="BX197" s="143"/>
      <c r="BY197" s="143"/>
      <c r="BZ197" s="143"/>
      <c r="CA197" s="143"/>
      <c r="CB197" s="143"/>
      <c r="CC197" s="143"/>
      <c r="CD197" s="143"/>
      <c r="CE197" s="143"/>
      <c r="CF197" s="143"/>
      <c r="CG197" s="143"/>
      <c r="CH197" s="143"/>
      <c r="CI197" s="143"/>
      <c r="CJ197" s="143"/>
      <c r="CK197" s="143"/>
      <c r="CL197" s="143"/>
      <c r="CM197" s="143"/>
      <c r="CN197" s="143"/>
    </row>
    <row r="198" spans="16:92" ht="15" customHeight="1" x14ac:dyDescent="0.2">
      <c r="P198" s="143"/>
      <c r="Q198" s="143"/>
      <c r="R198" s="143"/>
      <c r="S198" s="143"/>
      <c r="T198" s="143"/>
      <c r="U198" s="143"/>
      <c r="V198" s="143"/>
      <c r="W198" s="143"/>
      <c r="X198" s="143"/>
      <c r="Y198" s="143"/>
      <c r="Z198" s="143"/>
      <c r="AA198" s="143"/>
      <c r="AB198" s="143"/>
      <c r="AC198" s="143"/>
      <c r="AD198" s="143"/>
      <c r="AE198" s="143"/>
      <c r="AF198" s="143"/>
      <c r="AG198" s="143"/>
      <c r="AH198" s="143"/>
      <c r="AI198" s="143"/>
      <c r="AJ198" s="143"/>
      <c r="AK198" s="143"/>
      <c r="AL198" s="143"/>
      <c r="AM198" s="143"/>
      <c r="AN198" s="143"/>
      <c r="AO198" s="143"/>
      <c r="AP198" s="143"/>
      <c r="AQ198" s="143"/>
      <c r="AR198" s="143"/>
      <c r="AS198" s="143"/>
      <c r="AT198" s="143"/>
      <c r="AU198" s="143"/>
      <c r="AV198" s="143"/>
      <c r="AW198" s="143"/>
      <c r="AX198" s="143"/>
      <c r="AY198" s="143"/>
      <c r="AZ198" s="143"/>
      <c r="BA198" s="143"/>
      <c r="BB198" s="143"/>
      <c r="BC198" s="143"/>
      <c r="BD198" s="143"/>
      <c r="BE198" s="143"/>
      <c r="BF198" s="143"/>
      <c r="BG198" s="143"/>
      <c r="BH198" s="143"/>
      <c r="BI198" s="143"/>
      <c r="BJ198" s="143"/>
      <c r="BK198" s="143"/>
      <c r="BL198" s="143"/>
      <c r="BM198" s="143"/>
      <c r="BN198" s="143"/>
      <c r="BO198" s="143"/>
      <c r="BP198" s="143"/>
      <c r="BQ198" s="143"/>
      <c r="BR198" s="143"/>
      <c r="BS198" s="143"/>
      <c r="BT198" s="143"/>
      <c r="BU198" s="143"/>
      <c r="BV198" s="143"/>
      <c r="BW198" s="143"/>
      <c r="BX198" s="143"/>
      <c r="BY198" s="143"/>
      <c r="BZ198" s="143"/>
      <c r="CA198" s="143"/>
      <c r="CB198" s="143"/>
      <c r="CC198" s="143"/>
      <c r="CD198" s="143"/>
      <c r="CE198" s="143"/>
      <c r="CF198" s="143"/>
      <c r="CG198" s="143"/>
      <c r="CH198" s="143"/>
      <c r="CI198" s="143"/>
      <c r="CJ198" s="143"/>
      <c r="CK198" s="143"/>
      <c r="CL198" s="143"/>
      <c r="CM198" s="143"/>
      <c r="CN198" s="143"/>
    </row>
    <row r="199" spans="16:92" ht="15" customHeight="1" x14ac:dyDescent="0.2">
      <c r="P199" s="143"/>
      <c r="Q199" s="143"/>
      <c r="R199" s="143"/>
      <c r="S199" s="143"/>
      <c r="T199" s="143"/>
      <c r="U199" s="143"/>
      <c r="V199" s="143"/>
      <c r="W199" s="143"/>
      <c r="X199" s="143"/>
      <c r="Y199" s="143"/>
      <c r="Z199" s="143"/>
      <c r="AA199" s="143"/>
      <c r="AB199" s="143"/>
      <c r="AC199" s="143"/>
      <c r="AD199" s="143"/>
      <c r="AE199" s="143"/>
      <c r="AF199" s="143"/>
      <c r="AG199" s="143"/>
      <c r="AH199" s="143"/>
      <c r="AI199" s="143"/>
      <c r="AJ199" s="143"/>
      <c r="AK199" s="143"/>
      <c r="AL199" s="143"/>
      <c r="AM199" s="143"/>
      <c r="AN199" s="143"/>
      <c r="AO199" s="143"/>
      <c r="AP199" s="143"/>
      <c r="AQ199" s="143"/>
      <c r="AR199" s="143"/>
      <c r="AS199" s="143"/>
      <c r="AT199" s="143"/>
      <c r="AU199" s="143"/>
      <c r="AV199" s="143"/>
      <c r="AW199" s="143"/>
      <c r="AX199" s="143"/>
      <c r="AY199" s="143"/>
      <c r="AZ199" s="143"/>
      <c r="BA199" s="143"/>
      <c r="BB199" s="143"/>
      <c r="BC199" s="143"/>
      <c r="BD199" s="143"/>
      <c r="BE199" s="143"/>
      <c r="BF199" s="143"/>
      <c r="BG199" s="143"/>
      <c r="BH199" s="143"/>
      <c r="BI199" s="143"/>
      <c r="BJ199" s="143"/>
      <c r="BK199" s="143"/>
      <c r="BL199" s="143"/>
      <c r="BM199" s="143"/>
      <c r="BN199" s="143"/>
      <c r="BO199" s="143"/>
      <c r="BP199" s="143"/>
      <c r="BQ199" s="143"/>
      <c r="BR199" s="143"/>
      <c r="BS199" s="143"/>
      <c r="BT199" s="143"/>
      <c r="BU199" s="143"/>
      <c r="BV199" s="143"/>
      <c r="BW199" s="143"/>
      <c r="BX199" s="143"/>
      <c r="BY199" s="143"/>
      <c r="BZ199" s="143"/>
      <c r="CA199" s="143"/>
      <c r="CB199" s="143"/>
      <c r="CC199" s="143"/>
      <c r="CD199" s="143"/>
      <c r="CE199" s="143"/>
      <c r="CF199" s="143"/>
      <c r="CG199" s="143"/>
      <c r="CH199" s="143"/>
      <c r="CI199" s="143"/>
      <c r="CJ199" s="143"/>
      <c r="CK199" s="143"/>
      <c r="CL199" s="143"/>
      <c r="CM199" s="143"/>
      <c r="CN199" s="143"/>
    </row>
    <row r="200" spans="16:92" ht="15" customHeight="1" x14ac:dyDescent="0.2">
      <c r="P200" s="143"/>
      <c r="Q200" s="143"/>
      <c r="R200" s="143"/>
      <c r="S200" s="143"/>
      <c r="T200" s="143"/>
      <c r="U200" s="143"/>
      <c r="V200" s="143"/>
      <c r="W200" s="143"/>
      <c r="X200" s="143"/>
      <c r="Y200" s="143"/>
      <c r="Z200" s="143"/>
      <c r="AA200" s="143"/>
      <c r="AB200" s="143"/>
      <c r="AC200" s="143"/>
      <c r="AD200" s="143"/>
      <c r="AE200" s="143"/>
      <c r="AF200" s="143"/>
      <c r="AG200" s="143"/>
      <c r="AH200" s="143"/>
      <c r="AI200" s="143"/>
      <c r="AJ200" s="143"/>
      <c r="AK200" s="143"/>
      <c r="AL200" s="143"/>
      <c r="AM200" s="143"/>
      <c r="AN200" s="143"/>
      <c r="AO200" s="143"/>
      <c r="AP200" s="143"/>
      <c r="AQ200" s="143"/>
      <c r="AR200" s="143"/>
      <c r="AS200" s="143"/>
      <c r="AT200" s="143"/>
      <c r="AU200" s="143"/>
      <c r="AV200" s="143"/>
      <c r="AW200" s="143"/>
      <c r="AX200" s="143"/>
      <c r="AY200" s="143"/>
      <c r="AZ200" s="143"/>
      <c r="BA200" s="143"/>
      <c r="BB200" s="143"/>
      <c r="BC200" s="143"/>
      <c r="BD200" s="143"/>
      <c r="BE200" s="143"/>
      <c r="BF200" s="143"/>
      <c r="BG200" s="143"/>
      <c r="BH200" s="143"/>
      <c r="BI200" s="143"/>
      <c r="BJ200" s="143"/>
      <c r="BK200" s="143"/>
      <c r="BL200" s="143"/>
      <c r="BM200" s="143"/>
      <c r="BN200" s="143"/>
      <c r="BO200" s="143"/>
      <c r="BP200" s="143"/>
      <c r="BQ200" s="143"/>
      <c r="BR200" s="143"/>
      <c r="BS200" s="143"/>
      <c r="BT200" s="143"/>
      <c r="BU200" s="143"/>
      <c r="BV200" s="143"/>
      <c r="BW200" s="143"/>
      <c r="BX200" s="143"/>
      <c r="BY200" s="143"/>
      <c r="BZ200" s="143"/>
      <c r="CA200" s="143"/>
      <c r="CB200" s="143"/>
      <c r="CC200" s="143"/>
      <c r="CD200" s="143"/>
      <c r="CE200" s="143"/>
      <c r="CF200" s="143"/>
      <c r="CG200" s="143"/>
      <c r="CH200" s="143"/>
      <c r="CI200" s="143"/>
      <c r="CJ200" s="143"/>
      <c r="CK200" s="143"/>
      <c r="CL200" s="143"/>
      <c r="CM200" s="143"/>
      <c r="CN200" s="143"/>
    </row>
    <row r="201" spans="16:92" ht="15" customHeight="1" x14ac:dyDescent="0.2">
      <c r="P201" s="143"/>
      <c r="Q201" s="143"/>
      <c r="R201" s="143"/>
      <c r="S201" s="143"/>
      <c r="T201" s="143"/>
      <c r="U201" s="143"/>
      <c r="V201" s="143"/>
      <c r="W201" s="143"/>
      <c r="X201" s="143"/>
      <c r="Y201" s="143"/>
      <c r="Z201" s="143"/>
      <c r="AA201" s="143"/>
      <c r="AB201" s="143"/>
      <c r="AC201" s="143"/>
      <c r="AD201" s="143"/>
      <c r="AE201" s="143"/>
      <c r="AF201" s="143"/>
      <c r="AG201" s="143"/>
      <c r="AH201" s="143"/>
      <c r="AI201" s="143"/>
      <c r="AJ201" s="143"/>
      <c r="AK201" s="143"/>
      <c r="AL201" s="143"/>
      <c r="AM201" s="143"/>
      <c r="AN201" s="143"/>
      <c r="AO201" s="143"/>
      <c r="AP201" s="143"/>
      <c r="AQ201" s="143"/>
      <c r="AR201" s="143"/>
      <c r="AS201" s="143"/>
      <c r="AT201" s="143"/>
      <c r="AU201" s="143"/>
      <c r="AV201" s="143"/>
      <c r="AW201" s="143"/>
      <c r="AX201" s="143"/>
      <c r="AY201" s="143"/>
      <c r="AZ201" s="143"/>
      <c r="BA201" s="143"/>
      <c r="BB201" s="143"/>
      <c r="BC201" s="143"/>
      <c r="BD201" s="143"/>
      <c r="BE201" s="143"/>
      <c r="BF201" s="143"/>
      <c r="BG201" s="143"/>
      <c r="BH201" s="143"/>
      <c r="BI201" s="143"/>
      <c r="BJ201" s="143"/>
      <c r="BK201" s="143"/>
      <c r="BL201" s="143"/>
      <c r="BM201" s="143"/>
      <c r="BN201" s="143"/>
      <c r="BO201" s="143"/>
      <c r="BP201" s="143"/>
      <c r="BQ201" s="143"/>
      <c r="BR201" s="143"/>
      <c r="BS201" s="143"/>
      <c r="BT201" s="143"/>
      <c r="BU201" s="143"/>
      <c r="BV201" s="143"/>
      <c r="BW201" s="143"/>
      <c r="BX201" s="143"/>
      <c r="BY201" s="143"/>
      <c r="BZ201" s="143"/>
      <c r="CA201" s="143"/>
      <c r="CB201" s="143"/>
      <c r="CC201" s="143"/>
      <c r="CD201" s="143"/>
      <c r="CE201" s="143"/>
      <c r="CF201" s="143"/>
      <c r="CG201" s="143"/>
      <c r="CH201" s="143"/>
      <c r="CI201" s="143"/>
      <c r="CJ201" s="143"/>
      <c r="CK201" s="143"/>
      <c r="CL201" s="143"/>
      <c r="CM201" s="143"/>
      <c r="CN201" s="143"/>
    </row>
    <row r="202" spans="16:92" ht="15" customHeight="1" x14ac:dyDescent="0.2">
      <c r="P202" s="143"/>
      <c r="Q202" s="143"/>
      <c r="R202" s="143"/>
      <c r="S202" s="143"/>
      <c r="T202" s="143"/>
      <c r="U202" s="143"/>
      <c r="V202" s="143"/>
      <c r="W202" s="143"/>
      <c r="X202" s="143"/>
      <c r="Y202" s="143"/>
      <c r="Z202" s="143"/>
      <c r="AA202" s="143"/>
      <c r="AB202" s="143"/>
      <c r="AC202" s="143"/>
      <c r="AD202" s="143"/>
      <c r="AE202" s="143"/>
      <c r="AF202" s="143"/>
      <c r="AG202" s="143"/>
      <c r="AH202" s="143"/>
      <c r="AI202" s="143"/>
      <c r="AJ202" s="143"/>
      <c r="AK202" s="143"/>
      <c r="AL202" s="143"/>
      <c r="AM202" s="143"/>
      <c r="AN202" s="143"/>
      <c r="AO202" s="143"/>
      <c r="AP202" s="143"/>
      <c r="AQ202" s="143"/>
      <c r="AR202" s="143"/>
      <c r="AS202" s="143"/>
      <c r="AT202" s="143"/>
      <c r="AU202" s="143"/>
      <c r="AV202" s="143"/>
      <c r="AW202" s="143"/>
      <c r="AX202" s="143"/>
      <c r="AY202" s="143"/>
      <c r="AZ202" s="143"/>
      <c r="BA202" s="143"/>
      <c r="BB202" s="143"/>
      <c r="BC202" s="143"/>
      <c r="BD202" s="143"/>
      <c r="BE202" s="143"/>
      <c r="BF202" s="143"/>
      <c r="BG202" s="143"/>
      <c r="BH202" s="143"/>
      <c r="BI202" s="143"/>
      <c r="BJ202" s="143"/>
      <c r="BK202" s="143"/>
      <c r="BL202" s="143"/>
      <c r="BM202" s="143"/>
      <c r="BN202" s="143"/>
      <c r="BO202" s="143"/>
      <c r="BP202" s="143"/>
      <c r="BQ202" s="143"/>
      <c r="BR202" s="143"/>
      <c r="BS202" s="143"/>
      <c r="BT202" s="143"/>
      <c r="BU202" s="143"/>
      <c r="BV202" s="143"/>
      <c r="BW202" s="143"/>
      <c r="BX202" s="143"/>
      <c r="BY202" s="143"/>
      <c r="BZ202" s="143"/>
      <c r="CA202" s="143"/>
      <c r="CB202" s="143"/>
      <c r="CC202" s="143"/>
      <c r="CD202" s="143"/>
      <c r="CE202" s="143"/>
      <c r="CF202" s="143"/>
      <c r="CG202" s="143"/>
      <c r="CH202" s="143"/>
      <c r="CI202" s="143"/>
      <c r="CJ202" s="143"/>
      <c r="CK202" s="143"/>
      <c r="CL202" s="143"/>
      <c r="CM202" s="143"/>
      <c r="CN202" s="143"/>
    </row>
    <row r="203" spans="16:92" ht="15" customHeight="1" x14ac:dyDescent="0.2">
      <c r="P203" s="143"/>
      <c r="Q203" s="143"/>
      <c r="R203" s="143"/>
      <c r="S203" s="143"/>
      <c r="T203" s="143"/>
      <c r="U203" s="143"/>
      <c r="V203" s="143"/>
      <c r="W203" s="143"/>
      <c r="X203" s="143"/>
      <c r="Y203" s="143"/>
      <c r="Z203" s="143"/>
      <c r="AA203" s="143"/>
      <c r="AB203" s="143"/>
      <c r="AC203" s="143"/>
      <c r="AD203" s="143"/>
      <c r="AE203" s="143"/>
      <c r="AF203" s="143"/>
      <c r="AG203" s="143"/>
      <c r="AH203" s="143"/>
      <c r="AI203" s="143"/>
      <c r="AJ203" s="143"/>
      <c r="AK203" s="143"/>
      <c r="AL203" s="143"/>
      <c r="AM203" s="143"/>
      <c r="AN203" s="143"/>
      <c r="AO203" s="143"/>
      <c r="AP203" s="143"/>
      <c r="AQ203" s="143"/>
      <c r="AR203" s="143"/>
      <c r="AS203" s="143"/>
      <c r="AT203" s="143"/>
      <c r="AU203" s="143"/>
      <c r="AV203" s="143"/>
      <c r="AW203" s="143"/>
      <c r="AX203" s="143"/>
      <c r="AY203" s="143"/>
      <c r="AZ203" s="143"/>
      <c r="BA203" s="143"/>
      <c r="BB203" s="143"/>
      <c r="BC203" s="143"/>
      <c r="BD203" s="143"/>
      <c r="BE203" s="143"/>
      <c r="BF203" s="143"/>
      <c r="BG203" s="143"/>
      <c r="BH203" s="143"/>
      <c r="BI203" s="143"/>
      <c r="BJ203" s="143"/>
      <c r="BK203" s="143"/>
      <c r="BL203" s="143"/>
      <c r="BM203" s="143"/>
      <c r="BN203" s="143"/>
      <c r="BO203" s="143"/>
      <c r="BP203" s="143"/>
      <c r="BQ203" s="143"/>
      <c r="BR203" s="143"/>
      <c r="BS203" s="143"/>
      <c r="BT203" s="143"/>
      <c r="BU203" s="143"/>
      <c r="BV203" s="143"/>
      <c r="BW203" s="143"/>
      <c r="BX203" s="143"/>
      <c r="BY203" s="143"/>
      <c r="BZ203" s="143"/>
      <c r="CA203" s="143"/>
      <c r="CB203" s="143"/>
      <c r="CC203" s="143"/>
      <c r="CD203" s="143"/>
      <c r="CE203" s="143"/>
      <c r="CF203" s="143"/>
      <c r="CG203" s="143"/>
      <c r="CH203" s="143"/>
      <c r="CI203" s="143"/>
      <c r="CJ203" s="143"/>
      <c r="CK203" s="143"/>
      <c r="CL203" s="143"/>
      <c r="CM203" s="143"/>
      <c r="CN203" s="143"/>
    </row>
    <row r="204" spans="16:92" ht="15" customHeight="1" x14ac:dyDescent="0.2">
      <c r="P204" s="143"/>
      <c r="Q204" s="143"/>
      <c r="R204" s="143"/>
      <c r="S204" s="143"/>
      <c r="T204" s="143"/>
      <c r="U204" s="143"/>
      <c r="V204" s="143"/>
      <c r="W204" s="143"/>
      <c r="X204" s="143"/>
      <c r="Y204" s="143"/>
      <c r="Z204" s="143"/>
      <c r="AA204" s="143"/>
      <c r="AB204" s="143"/>
      <c r="AC204" s="143"/>
      <c r="AD204" s="143"/>
      <c r="AE204" s="143"/>
      <c r="AF204" s="143"/>
      <c r="AG204" s="143"/>
      <c r="AH204" s="143"/>
      <c r="AI204" s="143"/>
      <c r="AJ204" s="143"/>
      <c r="AK204" s="143"/>
      <c r="AL204" s="143"/>
      <c r="AM204" s="143"/>
      <c r="AN204" s="143"/>
      <c r="AO204" s="143"/>
      <c r="AP204" s="143"/>
      <c r="AQ204" s="143"/>
      <c r="AR204" s="143"/>
      <c r="AS204" s="143"/>
      <c r="AT204" s="143"/>
      <c r="AU204" s="143"/>
      <c r="AV204" s="143"/>
      <c r="AW204" s="143"/>
      <c r="AX204" s="143"/>
      <c r="AY204" s="143"/>
      <c r="AZ204" s="143"/>
      <c r="BA204" s="143"/>
      <c r="BB204" s="143"/>
      <c r="BC204" s="143"/>
      <c r="BD204" s="143"/>
      <c r="BE204" s="143"/>
      <c r="BF204" s="143"/>
      <c r="BG204" s="143"/>
      <c r="BH204" s="143"/>
      <c r="BI204" s="143"/>
      <c r="BJ204" s="143"/>
      <c r="BK204" s="143"/>
      <c r="BL204" s="143"/>
      <c r="BM204" s="143"/>
      <c r="BN204" s="143"/>
      <c r="BO204" s="143"/>
      <c r="BP204" s="143"/>
      <c r="BQ204" s="143"/>
      <c r="BR204" s="143"/>
      <c r="BS204" s="143"/>
      <c r="BT204" s="143"/>
      <c r="BU204" s="143"/>
      <c r="BV204" s="143"/>
      <c r="BW204" s="143"/>
      <c r="BX204" s="143"/>
      <c r="BY204" s="143"/>
      <c r="BZ204" s="143"/>
      <c r="CA204" s="143"/>
      <c r="CB204" s="143"/>
      <c r="CC204" s="143"/>
      <c r="CD204" s="143"/>
      <c r="CE204" s="143"/>
      <c r="CF204" s="143"/>
      <c r="CG204" s="143"/>
      <c r="CH204" s="143"/>
      <c r="CI204" s="143"/>
      <c r="CJ204" s="143"/>
      <c r="CK204" s="143"/>
      <c r="CL204" s="143"/>
      <c r="CM204" s="143"/>
      <c r="CN204" s="143"/>
    </row>
    <row r="205" spans="16:92" ht="15" customHeight="1" x14ac:dyDescent="0.2">
      <c r="P205" s="143"/>
      <c r="Q205" s="143"/>
      <c r="R205" s="143"/>
      <c r="S205" s="143"/>
      <c r="T205" s="143"/>
      <c r="U205" s="143"/>
      <c r="V205" s="143"/>
      <c r="W205" s="143"/>
      <c r="X205" s="143"/>
      <c r="Y205" s="143"/>
      <c r="Z205" s="143"/>
      <c r="AA205" s="143"/>
      <c r="AB205" s="143"/>
      <c r="AC205" s="143"/>
      <c r="AD205" s="143"/>
      <c r="AE205" s="143"/>
      <c r="AF205" s="143"/>
      <c r="AG205" s="143"/>
      <c r="AH205" s="143"/>
      <c r="AI205" s="143"/>
      <c r="AJ205" s="143"/>
      <c r="AK205" s="143"/>
      <c r="AL205" s="143"/>
      <c r="AM205" s="143"/>
      <c r="AN205" s="143"/>
      <c r="AO205" s="143"/>
      <c r="AP205" s="143"/>
      <c r="AQ205" s="143"/>
      <c r="AR205" s="143"/>
      <c r="AS205" s="143"/>
      <c r="AT205" s="143"/>
      <c r="AU205" s="143"/>
      <c r="AV205" s="143"/>
      <c r="AW205" s="143"/>
      <c r="AX205" s="143"/>
      <c r="AY205" s="143"/>
      <c r="AZ205" s="143"/>
      <c r="BA205" s="143"/>
      <c r="BB205" s="143"/>
      <c r="BC205" s="143"/>
      <c r="BD205" s="143"/>
      <c r="BE205" s="143"/>
      <c r="BF205" s="143"/>
      <c r="BG205" s="143"/>
      <c r="BH205" s="143"/>
      <c r="BI205" s="143"/>
      <c r="BJ205" s="143"/>
      <c r="BK205" s="143"/>
      <c r="BL205" s="143"/>
      <c r="BM205" s="143"/>
      <c r="BN205" s="143"/>
      <c r="BO205" s="143"/>
      <c r="BP205" s="143"/>
      <c r="BQ205" s="143"/>
      <c r="BR205" s="143"/>
      <c r="BS205" s="143"/>
      <c r="BT205" s="143"/>
      <c r="BU205" s="143"/>
      <c r="BV205" s="143"/>
      <c r="BW205" s="143"/>
      <c r="BX205" s="143"/>
      <c r="BY205" s="143"/>
      <c r="BZ205" s="143"/>
      <c r="CA205" s="143"/>
      <c r="CB205" s="143"/>
      <c r="CC205" s="143"/>
      <c r="CD205" s="143"/>
      <c r="CE205" s="143"/>
      <c r="CF205" s="143"/>
      <c r="CG205" s="143"/>
      <c r="CH205" s="143"/>
      <c r="CI205" s="143"/>
      <c r="CJ205" s="143"/>
      <c r="CK205" s="143"/>
      <c r="CL205" s="143"/>
      <c r="CM205" s="143"/>
      <c r="CN205" s="143"/>
    </row>
    <row r="206" spans="16:92" ht="15" customHeight="1" x14ac:dyDescent="0.2">
      <c r="P206" s="143"/>
      <c r="Q206" s="143"/>
      <c r="R206" s="143"/>
      <c r="S206" s="143"/>
      <c r="T206" s="143"/>
      <c r="U206" s="143"/>
      <c r="V206" s="143"/>
      <c r="W206" s="143"/>
      <c r="X206" s="143"/>
      <c r="Y206" s="143"/>
      <c r="Z206" s="143"/>
      <c r="AA206" s="143"/>
      <c r="AB206" s="143"/>
      <c r="AC206" s="143"/>
      <c r="AD206" s="143"/>
      <c r="AE206" s="143"/>
      <c r="AF206" s="143"/>
      <c r="AG206" s="143"/>
      <c r="AH206" s="143"/>
      <c r="AI206" s="143"/>
      <c r="AJ206" s="143"/>
      <c r="AK206" s="143"/>
      <c r="AL206" s="143"/>
      <c r="AM206" s="143"/>
      <c r="AN206" s="143"/>
      <c r="AO206" s="143"/>
      <c r="AP206" s="143"/>
      <c r="AQ206" s="143"/>
      <c r="AR206" s="143"/>
      <c r="AS206" s="143"/>
      <c r="AT206" s="143"/>
      <c r="AU206" s="143"/>
      <c r="AV206" s="143"/>
      <c r="AW206" s="143"/>
      <c r="AX206" s="143"/>
      <c r="AY206" s="143"/>
      <c r="AZ206" s="143"/>
      <c r="BA206" s="143"/>
      <c r="BB206" s="143"/>
      <c r="BC206" s="143"/>
      <c r="BD206" s="143"/>
      <c r="BE206" s="143"/>
      <c r="BF206" s="143"/>
      <c r="BG206" s="143"/>
      <c r="BH206" s="143"/>
      <c r="BI206" s="143"/>
      <c r="BJ206" s="143"/>
      <c r="BK206" s="143"/>
      <c r="BL206" s="143"/>
      <c r="BM206" s="143"/>
      <c r="BN206" s="143"/>
      <c r="BO206" s="143"/>
      <c r="BP206" s="143"/>
      <c r="BQ206" s="143"/>
      <c r="BR206" s="143"/>
      <c r="BS206" s="143"/>
      <c r="BT206" s="143"/>
      <c r="BU206" s="143"/>
      <c r="BV206" s="143"/>
      <c r="BW206" s="143"/>
      <c r="BX206" s="143"/>
      <c r="BY206" s="143"/>
      <c r="BZ206" s="143"/>
      <c r="CA206" s="143"/>
      <c r="CB206" s="143"/>
      <c r="CC206" s="143"/>
      <c r="CD206" s="143"/>
      <c r="CE206" s="143"/>
      <c r="CF206" s="143"/>
      <c r="CG206" s="143"/>
      <c r="CH206" s="143"/>
      <c r="CI206" s="143"/>
      <c r="CJ206" s="143"/>
      <c r="CK206" s="143"/>
      <c r="CL206" s="143"/>
      <c r="CM206" s="143"/>
      <c r="CN206" s="143"/>
    </row>
    <row r="207" spans="16:92" ht="15" customHeight="1" x14ac:dyDescent="0.2">
      <c r="P207" s="143"/>
      <c r="Q207" s="143"/>
      <c r="R207" s="143"/>
      <c r="S207" s="143"/>
      <c r="T207" s="143"/>
      <c r="U207" s="143"/>
      <c r="V207" s="143"/>
      <c r="W207" s="143"/>
      <c r="X207" s="143"/>
      <c r="Y207" s="143"/>
      <c r="Z207" s="143"/>
      <c r="AA207" s="143"/>
      <c r="AB207" s="143"/>
      <c r="AC207" s="143"/>
      <c r="AD207" s="143"/>
      <c r="AE207" s="143"/>
      <c r="AF207" s="143"/>
      <c r="AG207" s="143"/>
      <c r="AH207" s="143"/>
      <c r="AI207" s="143"/>
      <c r="AJ207" s="143"/>
      <c r="AK207" s="143"/>
      <c r="AL207" s="143"/>
      <c r="AM207" s="143"/>
      <c r="AN207" s="143"/>
      <c r="AO207" s="143"/>
      <c r="AP207" s="143"/>
      <c r="AQ207" s="143"/>
      <c r="AR207" s="143"/>
      <c r="AS207" s="143"/>
      <c r="AT207" s="143"/>
      <c r="AU207" s="143"/>
      <c r="AV207" s="143"/>
      <c r="AW207" s="143"/>
      <c r="AX207" s="143"/>
      <c r="AY207" s="143"/>
      <c r="AZ207" s="143"/>
      <c r="BA207" s="143"/>
      <c r="BB207" s="143"/>
      <c r="BC207" s="143"/>
      <c r="BD207" s="143"/>
      <c r="BE207" s="143"/>
      <c r="BF207" s="143"/>
      <c r="BG207" s="143"/>
      <c r="BH207" s="143"/>
      <c r="BI207" s="143"/>
      <c r="BJ207" s="143"/>
      <c r="BK207" s="143"/>
      <c r="BL207" s="143"/>
      <c r="BM207" s="143"/>
      <c r="BN207" s="143"/>
      <c r="BO207" s="143"/>
      <c r="BP207" s="143"/>
      <c r="BQ207" s="143"/>
      <c r="BR207" s="143"/>
      <c r="BS207" s="143"/>
      <c r="BT207" s="143"/>
      <c r="BU207" s="143"/>
      <c r="BV207" s="143"/>
      <c r="BW207" s="143"/>
      <c r="BX207" s="143"/>
      <c r="BY207" s="143"/>
      <c r="BZ207" s="143"/>
      <c r="CA207" s="143"/>
      <c r="CB207" s="143"/>
      <c r="CC207" s="143"/>
      <c r="CD207" s="143"/>
      <c r="CE207" s="143"/>
      <c r="CF207" s="143"/>
      <c r="CG207" s="143"/>
      <c r="CH207" s="143"/>
      <c r="CI207" s="143"/>
      <c r="CJ207" s="143"/>
      <c r="CK207" s="143"/>
      <c r="CL207" s="143"/>
      <c r="CM207" s="143"/>
      <c r="CN207" s="143"/>
    </row>
    <row r="208" spans="16:92" ht="15" customHeight="1" x14ac:dyDescent="0.2">
      <c r="P208" s="143"/>
      <c r="Q208" s="143"/>
      <c r="R208" s="143"/>
      <c r="S208" s="143"/>
      <c r="T208" s="143"/>
      <c r="U208" s="143"/>
      <c r="V208" s="143"/>
      <c r="W208" s="143"/>
      <c r="X208" s="143"/>
      <c r="Y208" s="143"/>
      <c r="Z208" s="143"/>
      <c r="AA208" s="143"/>
      <c r="AB208" s="143"/>
      <c r="AC208" s="143"/>
      <c r="AD208" s="143"/>
      <c r="AE208" s="143"/>
      <c r="AF208" s="143"/>
      <c r="AG208" s="143"/>
      <c r="AH208" s="143"/>
      <c r="AI208" s="143"/>
      <c r="AJ208" s="143"/>
      <c r="AK208" s="143"/>
      <c r="AL208" s="143"/>
      <c r="AM208" s="143"/>
      <c r="AN208" s="143"/>
      <c r="AO208" s="143"/>
      <c r="AP208" s="143"/>
      <c r="AQ208" s="143"/>
      <c r="AR208" s="143"/>
      <c r="AS208" s="143"/>
      <c r="AT208" s="143"/>
      <c r="AU208" s="143"/>
      <c r="AV208" s="143"/>
      <c r="AW208" s="143"/>
      <c r="AX208" s="143"/>
      <c r="AY208" s="143"/>
      <c r="AZ208" s="143"/>
      <c r="BA208" s="143"/>
      <c r="BB208" s="143"/>
      <c r="BC208" s="143"/>
      <c r="BD208" s="143"/>
      <c r="BE208" s="143"/>
      <c r="BF208" s="143"/>
      <c r="BG208" s="143"/>
      <c r="BH208" s="143"/>
      <c r="BI208" s="143"/>
      <c r="BJ208" s="143"/>
      <c r="BK208" s="143"/>
      <c r="BL208" s="143"/>
      <c r="BM208" s="143"/>
      <c r="BN208" s="143"/>
      <c r="BO208" s="143"/>
      <c r="BP208" s="143"/>
      <c r="BQ208" s="143"/>
      <c r="BR208" s="143"/>
      <c r="BS208" s="143"/>
      <c r="BT208" s="143"/>
      <c r="BU208" s="143"/>
      <c r="BV208" s="143"/>
      <c r="BW208" s="143"/>
      <c r="BX208" s="143"/>
      <c r="BY208" s="143"/>
      <c r="BZ208" s="143"/>
      <c r="CA208" s="143"/>
      <c r="CB208" s="143"/>
      <c r="CC208" s="143"/>
      <c r="CD208" s="143"/>
      <c r="CE208" s="143"/>
      <c r="CF208" s="143"/>
      <c r="CG208" s="143"/>
      <c r="CH208" s="143"/>
      <c r="CI208" s="143"/>
      <c r="CJ208" s="143"/>
      <c r="CK208" s="143"/>
      <c r="CL208" s="143"/>
      <c r="CM208" s="143"/>
      <c r="CN208" s="143"/>
    </row>
    <row r="209" spans="16:92" ht="15" customHeight="1" x14ac:dyDescent="0.2">
      <c r="P209" s="143"/>
      <c r="Q209" s="143"/>
      <c r="R209" s="143"/>
      <c r="S209" s="143"/>
      <c r="T209" s="143"/>
      <c r="U209" s="143"/>
      <c r="V209" s="143"/>
      <c r="W209" s="143"/>
      <c r="X209" s="143"/>
      <c r="Y209" s="143"/>
      <c r="Z209" s="143"/>
      <c r="AA209" s="143"/>
      <c r="AB209" s="143"/>
      <c r="AC209" s="143"/>
      <c r="AD209" s="143"/>
      <c r="AE209" s="143"/>
      <c r="AF209" s="143"/>
      <c r="AG209" s="143"/>
      <c r="AH209" s="143"/>
      <c r="AI209" s="143"/>
      <c r="AJ209" s="143"/>
      <c r="AK209" s="143"/>
      <c r="AL209" s="143"/>
      <c r="AM209" s="143"/>
      <c r="AN209" s="143"/>
      <c r="AO209" s="143"/>
      <c r="AP209" s="143"/>
      <c r="AQ209" s="143"/>
      <c r="AR209" s="143"/>
      <c r="AS209" s="143"/>
      <c r="AT209" s="143"/>
      <c r="AU209" s="143"/>
      <c r="AV209" s="143"/>
      <c r="AW209" s="143"/>
      <c r="AX209" s="143"/>
      <c r="AY209" s="143"/>
      <c r="AZ209" s="143"/>
      <c r="BA209" s="143"/>
      <c r="BB209" s="143"/>
      <c r="BC209" s="143"/>
      <c r="BD209" s="143"/>
      <c r="BE209" s="143"/>
      <c r="BF209" s="143"/>
      <c r="BG209" s="143"/>
      <c r="BH209" s="143"/>
      <c r="BI209" s="143"/>
      <c r="BJ209" s="143"/>
      <c r="BK209" s="143"/>
      <c r="BL209" s="143"/>
      <c r="BM209" s="143"/>
      <c r="BN209" s="143"/>
      <c r="BO209" s="143"/>
      <c r="BP209" s="143"/>
      <c r="BQ209" s="143"/>
      <c r="BR209" s="143"/>
      <c r="BS209" s="143"/>
      <c r="BT209" s="143"/>
      <c r="BU209" s="143"/>
      <c r="BV209" s="143"/>
      <c r="BW209" s="143"/>
      <c r="BX209" s="143"/>
      <c r="BY209" s="143"/>
      <c r="BZ209" s="143"/>
      <c r="CA209" s="143"/>
      <c r="CB209" s="143"/>
      <c r="CC209" s="143"/>
      <c r="CD209" s="143"/>
      <c r="CE209" s="143"/>
      <c r="CF209" s="143"/>
      <c r="CG209" s="143"/>
      <c r="CH209" s="143"/>
      <c r="CI209" s="143"/>
      <c r="CJ209" s="143"/>
      <c r="CK209" s="143"/>
      <c r="CL209" s="143"/>
      <c r="CM209" s="143"/>
      <c r="CN209" s="143"/>
    </row>
    <row r="210" spans="16:92" ht="15" customHeight="1" x14ac:dyDescent="0.2">
      <c r="P210" s="143"/>
      <c r="Q210" s="143"/>
      <c r="R210" s="143"/>
      <c r="S210" s="143"/>
      <c r="T210" s="143"/>
      <c r="U210" s="143"/>
      <c r="V210" s="143"/>
      <c r="W210" s="143"/>
      <c r="X210" s="143"/>
      <c r="Y210" s="143"/>
      <c r="Z210" s="143"/>
      <c r="AA210" s="143"/>
      <c r="AB210" s="143"/>
      <c r="AC210" s="143"/>
      <c r="AD210" s="143"/>
      <c r="AE210" s="143"/>
      <c r="AF210" s="143"/>
      <c r="AG210" s="143"/>
      <c r="AH210" s="143"/>
      <c r="AI210" s="143"/>
      <c r="AJ210" s="143"/>
      <c r="AK210" s="143"/>
      <c r="AL210" s="143"/>
      <c r="AM210" s="143"/>
      <c r="AN210" s="143"/>
      <c r="AO210" s="143"/>
      <c r="AP210" s="143"/>
      <c r="AQ210" s="143"/>
      <c r="AR210" s="143"/>
      <c r="AS210" s="143"/>
      <c r="AT210" s="143"/>
      <c r="AU210" s="143"/>
      <c r="AV210" s="143"/>
      <c r="AW210" s="143"/>
      <c r="AX210" s="143"/>
      <c r="AY210" s="143"/>
      <c r="AZ210" s="143"/>
      <c r="BA210" s="143"/>
      <c r="BB210" s="143"/>
      <c r="BC210" s="143"/>
      <c r="BD210" s="143"/>
      <c r="BE210" s="143"/>
      <c r="BF210" s="143"/>
      <c r="BG210" s="143"/>
      <c r="BH210" s="143"/>
      <c r="BI210" s="143"/>
      <c r="BJ210" s="143"/>
      <c r="BK210" s="143"/>
      <c r="BL210" s="143"/>
      <c r="BM210" s="143"/>
      <c r="BN210" s="143"/>
      <c r="BO210" s="143"/>
      <c r="BP210" s="143"/>
      <c r="BQ210" s="143"/>
      <c r="BR210" s="143"/>
      <c r="BS210" s="143"/>
      <c r="BT210" s="143"/>
      <c r="BU210" s="143"/>
      <c r="BV210" s="143"/>
      <c r="BW210" s="143"/>
      <c r="BX210" s="143"/>
      <c r="BY210" s="143"/>
      <c r="BZ210" s="143"/>
      <c r="CA210" s="143"/>
      <c r="CB210" s="143"/>
      <c r="CC210" s="143"/>
      <c r="CD210" s="143"/>
      <c r="CE210" s="143"/>
      <c r="CF210" s="143"/>
      <c r="CG210" s="143"/>
      <c r="CH210" s="143"/>
      <c r="CI210" s="143"/>
      <c r="CJ210" s="143"/>
      <c r="CK210" s="143"/>
      <c r="CL210" s="143"/>
      <c r="CM210" s="143"/>
      <c r="CN210" s="143"/>
    </row>
    <row r="211" spans="16:92" ht="15" customHeight="1" x14ac:dyDescent="0.2">
      <c r="P211" s="143"/>
      <c r="Q211" s="143"/>
      <c r="R211" s="143"/>
      <c r="S211" s="143"/>
      <c r="T211" s="143"/>
      <c r="U211" s="143"/>
      <c r="V211" s="143"/>
      <c r="W211" s="143"/>
      <c r="X211" s="143"/>
      <c r="Y211" s="143"/>
      <c r="Z211" s="143"/>
      <c r="AA211" s="143"/>
      <c r="AB211" s="143"/>
      <c r="AC211" s="143"/>
      <c r="AD211" s="143"/>
      <c r="AE211" s="143"/>
      <c r="AF211" s="143"/>
      <c r="AG211" s="143"/>
      <c r="AH211" s="143"/>
      <c r="AI211" s="143"/>
      <c r="AJ211" s="143"/>
      <c r="AK211" s="143"/>
      <c r="AL211" s="143"/>
      <c r="AM211" s="143"/>
      <c r="AN211" s="143"/>
      <c r="AO211" s="143"/>
      <c r="AP211" s="143"/>
      <c r="AQ211" s="143"/>
      <c r="AR211" s="143"/>
      <c r="AS211" s="143"/>
      <c r="AT211" s="143"/>
      <c r="AU211" s="143"/>
      <c r="AV211" s="143"/>
      <c r="AW211" s="143"/>
      <c r="AX211" s="143"/>
      <c r="AY211" s="143"/>
      <c r="AZ211" s="143"/>
      <c r="BA211" s="143"/>
      <c r="BB211" s="143"/>
      <c r="BC211" s="143"/>
      <c r="BD211" s="143"/>
      <c r="BE211" s="143"/>
      <c r="BF211" s="143"/>
      <c r="BG211" s="143"/>
      <c r="BH211" s="143"/>
      <c r="BI211" s="143"/>
      <c r="BJ211" s="143"/>
      <c r="BK211" s="143"/>
      <c r="BL211" s="143"/>
      <c r="BM211" s="143"/>
      <c r="BN211" s="143"/>
      <c r="BO211" s="143"/>
      <c r="BP211" s="143"/>
      <c r="BQ211" s="143"/>
      <c r="BR211" s="143"/>
      <c r="BS211" s="143"/>
      <c r="BT211" s="143"/>
      <c r="BU211" s="143"/>
      <c r="BV211" s="143"/>
      <c r="BW211" s="143"/>
      <c r="BX211" s="143"/>
      <c r="BY211" s="143"/>
      <c r="BZ211" s="143"/>
      <c r="CA211" s="143"/>
      <c r="CB211" s="143"/>
      <c r="CC211" s="143"/>
      <c r="CD211" s="143"/>
      <c r="CE211" s="143"/>
      <c r="CF211" s="143"/>
      <c r="CG211" s="143"/>
      <c r="CH211" s="143"/>
      <c r="CI211" s="143"/>
      <c r="CJ211" s="143"/>
      <c r="CK211" s="143"/>
      <c r="CL211" s="143"/>
      <c r="CM211" s="143"/>
      <c r="CN211" s="143"/>
    </row>
    <row r="212" spans="16:92" ht="15" customHeight="1" x14ac:dyDescent="0.2">
      <c r="P212" s="143"/>
      <c r="Q212" s="143"/>
      <c r="R212" s="143"/>
      <c r="S212" s="143"/>
      <c r="T212" s="143"/>
      <c r="U212" s="143"/>
      <c r="V212" s="143"/>
      <c r="W212" s="143"/>
      <c r="X212" s="143"/>
      <c r="Y212" s="143"/>
      <c r="Z212" s="143"/>
      <c r="AA212" s="143"/>
      <c r="AB212" s="143"/>
      <c r="AC212" s="143"/>
      <c r="AD212" s="143"/>
      <c r="AE212" s="143"/>
      <c r="AF212" s="143"/>
      <c r="AG212" s="143"/>
      <c r="AH212" s="143"/>
      <c r="AI212" s="143"/>
      <c r="AJ212" s="143"/>
      <c r="AK212" s="143"/>
      <c r="AL212" s="143"/>
      <c r="AM212" s="143"/>
      <c r="AN212" s="143"/>
      <c r="AO212" s="143"/>
      <c r="AP212" s="143"/>
      <c r="AQ212" s="143"/>
      <c r="AR212" s="143"/>
      <c r="AS212" s="143"/>
      <c r="AT212" s="143"/>
      <c r="AU212" s="143"/>
      <c r="AV212" s="143"/>
      <c r="AW212" s="143"/>
      <c r="AX212" s="143"/>
      <c r="AY212" s="143"/>
      <c r="AZ212" s="143"/>
      <c r="BA212" s="143"/>
      <c r="BB212" s="143"/>
      <c r="BC212" s="143"/>
      <c r="BD212" s="143"/>
      <c r="BE212" s="143"/>
      <c r="BF212" s="143"/>
      <c r="BG212" s="143"/>
      <c r="BH212" s="143"/>
      <c r="BI212" s="143"/>
      <c r="BJ212" s="143"/>
      <c r="BK212" s="143"/>
      <c r="BL212" s="143"/>
      <c r="BM212" s="143"/>
      <c r="BN212" s="143"/>
      <c r="BO212" s="143"/>
      <c r="BP212" s="143"/>
      <c r="BQ212" s="143"/>
      <c r="BR212" s="143"/>
      <c r="BS212" s="143"/>
      <c r="BT212" s="143"/>
      <c r="BU212" s="143"/>
      <c r="BV212" s="143"/>
      <c r="BW212" s="143"/>
      <c r="BX212" s="143"/>
      <c r="BY212" s="143"/>
      <c r="BZ212" s="143"/>
      <c r="CA212" s="143"/>
      <c r="CB212" s="143"/>
      <c r="CC212" s="143"/>
      <c r="CD212" s="143"/>
      <c r="CE212" s="143"/>
      <c r="CF212" s="143"/>
      <c r="CG212" s="143"/>
      <c r="CH212" s="143"/>
      <c r="CI212" s="143"/>
      <c r="CJ212" s="143"/>
      <c r="CK212" s="143"/>
      <c r="CL212" s="143"/>
      <c r="CM212" s="143"/>
      <c r="CN212" s="143"/>
    </row>
    <row r="213" spans="16:92" ht="15" customHeight="1" x14ac:dyDescent="0.2">
      <c r="P213" s="7"/>
      <c r="Q213" s="143"/>
      <c r="R213" s="143"/>
      <c r="S213" s="143"/>
      <c r="T213" s="143"/>
      <c r="U213" s="143"/>
      <c r="V213" s="143"/>
      <c r="W213" s="143"/>
      <c r="X213" s="143"/>
      <c r="Y213" s="143"/>
      <c r="Z213" s="143"/>
      <c r="AA213" s="143"/>
      <c r="AB213" s="143"/>
      <c r="AC213" s="143"/>
      <c r="AD213" s="143"/>
      <c r="AE213" s="143"/>
      <c r="AF213" s="143"/>
      <c r="AG213" s="143"/>
      <c r="AH213" s="143"/>
      <c r="AI213" s="143"/>
      <c r="AJ213" s="143"/>
      <c r="AK213" s="143"/>
      <c r="AL213" s="143"/>
      <c r="AM213" s="143"/>
      <c r="AN213" s="143"/>
      <c r="AO213" s="143"/>
      <c r="AP213" s="143"/>
      <c r="AQ213" s="143"/>
      <c r="AR213" s="143"/>
      <c r="AS213" s="143"/>
      <c r="AT213" s="143"/>
      <c r="AU213" s="143"/>
      <c r="AV213" s="143"/>
      <c r="AW213" s="143"/>
      <c r="AX213" s="143"/>
      <c r="AY213" s="143"/>
      <c r="AZ213" s="143"/>
      <c r="BA213" s="143"/>
      <c r="BB213" s="143"/>
      <c r="BC213" s="143"/>
      <c r="BD213" s="143"/>
      <c r="BE213" s="143"/>
      <c r="BF213" s="143"/>
      <c r="BG213" s="143"/>
      <c r="BH213" s="143"/>
      <c r="BI213" s="143"/>
      <c r="BJ213" s="143"/>
      <c r="BK213" s="143"/>
      <c r="BL213" s="143"/>
      <c r="BM213" s="143"/>
      <c r="BN213" s="143"/>
      <c r="BO213" s="143"/>
      <c r="BP213" s="143"/>
      <c r="BQ213" s="143"/>
      <c r="BR213" s="143"/>
      <c r="BS213" s="143"/>
      <c r="BT213" s="143"/>
      <c r="BU213" s="143"/>
      <c r="BV213" s="143"/>
      <c r="BW213" s="143"/>
      <c r="BX213" s="143"/>
      <c r="BY213" s="143"/>
      <c r="BZ213" s="143"/>
      <c r="CA213" s="143"/>
      <c r="CB213" s="143"/>
      <c r="CC213" s="143"/>
      <c r="CD213" s="143"/>
      <c r="CE213" s="143"/>
      <c r="CF213" s="143"/>
      <c r="CG213" s="143"/>
      <c r="CH213" s="143"/>
      <c r="CI213" s="143"/>
      <c r="CJ213" s="143"/>
      <c r="CK213" s="143"/>
      <c r="CL213" s="143"/>
      <c r="CM213" s="143"/>
      <c r="CN213" s="143"/>
    </row>
    <row r="214" spans="16:92" ht="15" customHeight="1" x14ac:dyDescent="0.2">
      <c r="P214" s="7"/>
      <c r="Q214" s="143"/>
      <c r="R214" s="143"/>
      <c r="S214" s="143"/>
      <c r="T214" s="143"/>
      <c r="U214" s="143"/>
      <c r="V214" s="143"/>
      <c r="W214" s="143"/>
      <c r="X214" s="143"/>
      <c r="Y214" s="143"/>
      <c r="Z214" s="143"/>
      <c r="AA214" s="143"/>
      <c r="AB214" s="143"/>
      <c r="AC214" s="143"/>
      <c r="AD214" s="143"/>
      <c r="AE214" s="143"/>
      <c r="AF214" s="143"/>
      <c r="AG214" s="143"/>
      <c r="AH214" s="143"/>
      <c r="AI214" s="143"/>
      <c r="AJ214" s="143"/>
      <c r="AK214" s="143"/>
      <c r="AL214" s="143"/>
      <c r="AM214" s="143"/>
      <c r="AN214" s="143"/>
      <c r="AO214" s="143"/>
      <c r="AP214" s="143"/>
      <c r="AQ214" s="143"/>
      <c r="AR214" s="143"/>
      <c r="AS214" s="143"/>
      <c r="AT214" s="143"/>
      <c r="AU214" s="143"/>
      <c r="AV214" s="143"/>
      <c r="AW214" s="143"/>
      <c r="AX214" s="143"/>
      <c r="AY214" s="143"/>
      <c r="AZ214" s="143"/>
      <c r="BA214" s="143"/>
      <c r="BB214" s="143"/>
      <c r="BC214" s="143"/>
      <c r="BD214" s="143"/>
      <c r="BE214" s="143"/>
      <c r="BF214" s="143"/>
      <c r="BG214" s="143"/>
      <c r="BH214" s="143"/>
      <c r="BI214" s="143"/>
      <c r="BJ214" s="143"/>
      <c r="BK214" s="143"/>
      <c r="BL214" s="143"/>
      <c r="BM214" s="143"/>
      <c r="BN214" s="143"/>
      <c r="BO214" s="143"/>
      <c r="BP214" s="143"/>
      <c r="BQ214" s="143"/>
      <c r="BR214" s="143"/>
      <c r="BS214" s="143"/>
      <c r="BT214" s="143"/>
      <c r="BU214" s="143"/>
      <c r="BV214" s="143"/>
      <c r="BW214" s="143"/>
      <c r="BX214" s="143"/>
      <c r="BY214" s="143"/>
      <c r="BZ214" s="143"/>
      <c r="CA214" s="143"/>
      <c r="CB214" s="143"/>
      <c r="CC214" s="143"/>
      <c r="CD214" s="143"/>
      <c r="CE214" s="143"/>
      <c r="CF214" s="143"/>
      <c r="CG214" s="143"/>
      <c r="CH214" s="143"/>
      <c r="CI214" s="143"/>
      <c r="CJ214" s="143"/>
      <c r="CK214" s="143"/>
      <c r="CL214" s="143"/>
      <c r="CM214" s="143"/>
      <c r="CN214" s="143"/>
    </row>
    <row r="215" spans="16:92" ht="15" customHeight="1" x14ac:dyDescent="0.2">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8"/>
      <c r="BU215" s="8"/>
    </row>
    <row r="216" spans="16:92" ht="15.75" customHeight="1" x14ac:dyDescent="0.2">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145"/>
      <c r="BN216" s="7"/>
      <c r="BO216" s="7"/>
      <c r="BP216" s="7"/>
      <c r="BQ216" s="7"/>
      <c r="BR216" s="7"/>
      <c r="BS216" s="7"/>
      <c r="BT216" s="8"/>
      <c r="BU216" s="8"/>
    </row>
    <row r="217" spans="16:92" ht="15.75" customHeight="1" x14ac:dyDescent="0.2">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145"/>
      <c r="BN217" s="7"/>
      <c r="BO217" s="7"/>
      <c r="BP217" s="7"/>
      <c r="BQ217" s="7"/>
      <c r="BR217" s="7"/>
      <c r="BS217" s="7"/>
      <c r="BT217" s="8"/>
      <c r="BU217" s="8"/>
    </row>
    <row r="218" spans="16:92" x14ac:dyDescent="0.2">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145"/>
      <c r="BN218" s="7"/>
      <c r="BO218" s="7"/>
      <c r="BP218" s="7"/>
      <c r="BQ218" s="7"/>
      <c r="BR218" s="7"/>
      <c r="BS218" s="7"/>
      <c r="BT218" s="8"/>
      <c r="BU218" s="8"/>
    </row>
    <row r="219" spans="16:92" x14ac:dyDescent="0.2">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8"/>
      <c r="BU219" s="8"/>
    </row>
    <row r="220" spans="16:92" x14ac:dyDescent="0.2">
      <c r="BM220" s="7"/>
      <c r="BT220" s="8"/>
      <c r="BU220" s="8"/>
    </row>
    <row r="221" spans="16:92" x14ac:dyDescent="0.2">
      <c r="BM221" s="7"/>
      <c r="BT221" s="8"/>
      <c r="BU221" s="8"/>
    </row>
    <row r="222" spans="16:92" x14ac:dyDescent="0.2">
      <c r="BM222" s="7"/>
      <c r="BT222" s="8"/>
      <c r="BU222" s="8"/>
    </row>
    <row r="223" spans="16:92" x14ac:dyDescent="0.2">
      <c r="BM223" s="7"/>
      <c r="BT223" s="8"/>
      <c r="BU223" s="8"/>
    </row>
    <row r="224" spans="16:92" x14ac:dyDescent="0.2">
      <c r="BM224" s="7"/>
      <c r="BT224" s="8"/>
      <c r="BU224" s="8"/>
    </row>
    <row r="225" spans="65:73" x14ac:dyDescent="0.2">
      <c r="BM225" s="7"/>
      <c r="BT225" s="8"/>
      <c r="BU225" s="8"/>
    </row>
    <row r="226" spans="65:73" x14ac:dyDescent="0.2">
      <c r="BM226" s="7"/>
      <c r="BT226" s="8"/>
      <c r="BU226" s="8"/>
    </row>
    <row r="227" spans="65:73" x14ac:dyDescent="0.2">
      <c r="BT227" s="8"/>
      <c r="BU227" s="8"/>
    </row>
    <row r="228" spans="65:73" x14ac:dyDescent="0.2">
      <c r="BT228" s="8"/>
      <c r="BU228" s="8"/>
    </row>
    <row r="229" spans="65:73" x14ac:dyDescent="0.2">
      <c r="BT229" s="8"/>
      <c r="BU229" s="8"/>
    </row>
    <row r="230" spans="65:73" x14ac:dyDescent="0.2">
      <c r="BT230" s="8"/>
      <c r="BU230" s="8"/>
    </row>
    <row r="231" spans="65:73" x14ac:dyDescent="0.2">
      <c r="BT231" s="8"/>
      <c r="BU231" s="8"/>
    </row>
    <row r="232" spans="65:73" x14ac:dyDescent="0.2">
      <c r="BT232" s="8"/>
      <c r="BU232" s="8"/>
    </row>
    <row r="233" spans="65:73" x14ac:dyDescent="0.2">
      <c r="BT233" s="8"/>
      <c r="BU233" s="8"/>
    </row>
    <row r="234" spans="65:73" x14ac:dyDescent="0.2">
      <c r="BT234" s="8"/>
      <c r="BU234" s="8"/>
    </row>
    <row r="235" spans="65:73" x14ac:dyDescent="0.2">
      <c r="BT235" s="8"/>
      <c r="BU235" s="8"/>
    </row>
    <row r="236" spans="65:73" x14ac:dyDescent="0.2">
      <c r="BT236" s="8"/>
      <c r="BU236" s="8"/>
    </row>
    <row r="237" spans="65:73" x14ac:dyDescent="0.2">
      <c r="BT237" s="8"/>
      <c r="BU237" s="8"/>
    </row>
    <row r="238" spans="65:73" x14ac:dyDescent="0.2">
      <c r="BT238" s="8"/>
      <c r="BU238" s="8"/>
    </row>
    <row r="239" spans="65:73" x14ac:dyDescent="0.2">
      <c r="BT239" s="8"/>
      <c r="BU239" s="8"/>
    </row>
    <row r="240" spans="65:73" x14ac:dyDescent="0.2">
      <c r="BT240" s="8"/>
      <c r="BU240" s="8"/>
    </row>
    <row r="241" spans="72:73" x14ac:dyDescent="0.2">
      <c r="BT241" s="8"/>
      <c r="BU241" s="8"/>
    </row>
    <row r="242" spans="72:73" x14ac:dyDescent="0.2">
      <c r="BT242" s="8"/>
      <c r="BU242" s="8"/>
    </row>
    <row r="243" spans="72:73" x14ac:dyDescent="0.2">
      <c r="BT243" s="8"/>
      <c r="BU243" s="8"/>
    </row>
    <row r="244" spans="72:73" x14ac:dyDescent="0.2">
      <c r="BT244" s="8"/>
      <c r="BU244" s="8"/>
    </row>
    <row r="245" spans="72:73" x14ac:dyDescent="0.2">
      <c r="BT245" s="8"/>
      <c r="BU245" s="8"/>
    </row>
    <row r="246" spans="72:73" x14ac:dyDescent="0.2">
      <c r="BT246" s="8"/>
      <c r="BU246" s="8"/>
    </row>
    <row r="247" spans="72:73" x14ac:dyDescent="0.2">
      <c r="BT247" s="8"/>
      <c r="BU247" s="8"/>
    </row>
    <row r="248" spans="72:73" x14ac:dyDescent="0.2">
      <c r="BT248" s="8"/>
      <c r="BU248" s="8"/>
    </row>
    <row r="249" spans="72:73" x14ac:dyDescent="0.2">
      <c r="BT249" s="8"/>
      <c r="BU249" s="8"/>
    </row>
    <row r="250" spans="72:73" x14ac:dyDescent="0.2">
      <c r="BT250" s="8"/>
      <c r="BU250" s="8"/>
    </row>
    <row r="251" spans="72:73" x14ac:dyDescent="0.2">
      <c r="BT251" s="8"/>
      <c r="BU251" s="8"/>
    </row>
    <row r="252" spans="72:73" x14ac:dyDescent="0.2">
      <c r="BT252" s="8"/>
      <c r="BU252" s="8"/>
    </row>
    <row r="253" spans="72:73" x14ac:dyDescent="0.2">
      <c r="BT253" s="8"/>
      <c r="BU253" s="8"/>
    </row>
    <row r="254" spans="72:73" x14ac:dyDescent="0.2">
      <c r="BT254" s="8"/>
      <c r="BU254" s="8"/>
    </row>
    <row r="255" spans="72:73" x14ac:dyDescent="0.2">
      <c r="BT255" s="8"/>
      <c r="BU255" s="8"/>
    </row>
    <row r="256" spans="72:73" x14ac:dyDescent="0.2">
      <c r="BT256" s="8"/>
      <c r="BU256" s="8"/>
    </row>
    <row r="257" spans="72:73" x14ac:dyDescent="0.2">
      <c r="BT257" s="8"/>
      <c r="BU257" s="8"/>
    </row>
  </sheetData>
  <mergeCells count="48">
    <mergeCell ref="A38:A40"/>
    <mergeCell ref="L4:M4"/>
    <mergeCell ref="T4:U4"/>
    <mergeCell ref="V4:W4"/>
    <mergeCell ref="A4:A5"/>
    <mergeCell ref="B4:C4"/>
    <mergeCell ref="H4:I4"/>
    <mergeCell ref="N4:O4"/>
    <mergeCell ref="D4:E4"/>
    <mergeCell ref="F4:G4"/>
    <mergeCell ref="J4:K4"/>
    <mergeCell ref="P4:Q4"/>
    <mergeCell ref="R4:S4"/>
    <mergeCell ref="AD4:AE4"/>
    <mergeCell ref="AF4:AG4"/>
    <mergeCell ref="AL4:AM4"/>
    <mergeCell ref="BF4:BG4"/>
    <mergeCell ref="BX4:BY4"/>
    <mergeCell ref="BH4:BI4"/>
    <mergeCell ref="BP4:BQ4"/>
    <mergeCell ref="AJ4:AK4"/>
    <mergeCell ref="BZ4:CA4"/>
    <mergeCell ref="BL4:BM4"/>
    <mergeCell ref="BN4:BO4"/>
    <mergeCell ref="BV4:BW4"/>
    <mergeCell ref="BT4:BU4"/>
    <mergeCell ref="A2:O2"/>
    <mergeCell ref="BR4:BS4"/>
    <mergeCell ref="AN4:AO4"/>
    <mergeCell ref="AP4:AQ4"/>
    <mergeCell ref="AR4:AS4"/>
    <mergeCell ref="BB4:BC4"/>
    <mergeCell ref="AV4:AW4"/>
    <mergeCell ref="AX4:AY4"/>
    <mergeCell ref="AZ4:BA4"/>
    <mergeCell ref="BJ4:BK4"/>
    <mergeCell ref="BD4:BE4"/>
    <mergeCell ref="X4:Y4"/>
    <mergeCell ref="Z4:AA4"/>
    <mergeCell ref="AB4:AC4"/>
    <mergeCell ref="AT4:AU4"/>
    <mergeCell ref="AH4:AI4"/>
    <mergeCell ref="CL4:CM4"/>
    <mergeCell ref="CD4:CE4"/>
    <mergeCell ref="CF4:CG4"/>
    <mergeCell ref="CH4:CI4"/>
    <mergeCell ref="CB4:CC4"/>
    <mergeCell ref="CJ4:CK4"/>
  </mergeCells>
  <pageMargins left="0.7" right="0.7" top="0.75" bottom="0.75" header="0.3" footer="0.3"/>
  <pageSetup orientation="portrait"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O524"/>
  <sheetViews>
    <sheetView view="pageBreakPreview" zoomScaleNormal="90" zoomScaleSheetLayoutView="100" workbookViewId="0">
      <selection activeCell="A2" sqref="A2:O2"/>
    </sheetView>
  </sheetViews>
  <sheetFormatPr baseColWidth="10" defaultColWidth="11.42578125" defaultRowHeight="12" x14ac:dyDescent="0.2"/>
  <cols>
    <col min="1" max="1" width="43.42578125" style="2" customWidth="1"/>
    <col min="2" max="2" width="16.5703125" style="2" bestFit="1" customWidth="1"/>
    <col min="3" max="3" width="16.42578125" style="2" customWidth="1"/>
    <col min="4" max="4" width="13.42578125" style="2" bestFit="1" customWidth="1"/>
    <col min="5" max="5" width="14.42578125" style="2" bestFit="1" customWidth="1"/>
    <col min="6" max="7" width="12" style="2" bestFit="1" customWidth="1"/>
    <col min="8" max="8" width="12.5703125" style="2" bestFit="1" customWidth="1"/>
    <col min="9" max="9" width="13.42578125" style="2" bestFit="1" customWidth="1"/>
    <col min="10" max="10" width="11" style="2" bestFit="1" customWidth="1"/>
    <col min="11" max="11" width="10.42578125" style="2" customWidth="1"/>
    <col min="12" max="12" width="13.42578125" style="2" bestFit="1" customWidth="1"/>
    <col min="13" max="13" width="15" style="2" bestFit="1" customWidth="1"/>
    <col min="14" max="14" width="12.42578125" style="2" customWidth="1"/>
    <col min="15" max="15" width="12" style="2" bestFit="1" customWidth="1"/>
    <col min="16" max="16384" width="11.42578125" style="17"/>
  </cols>
  <sheetData>
    <row r="1" spans="1:15" x14ac:dyDescent="0.2">
      <c r="A1" s="17" t="s">
        <v>121</v>
      </c>
      <c r="B1" s="17"/>
      <c r="C1" s="17"/>
      <c r="D1" s="17"/>
      <c r="E1" s="17"/>
      <c r="F1" s="17"/>
      <c r="G1" s="17"/>
      <c r="H1" s="17"/>
      <c r="I1" s="17"/>
      <c r="J1" s="17"/>
      <c r="K1" s="17"/>
      <c r="L1" s="17"/>
      <c r="M1" s="17"/>
      <c r="N1" s="17"/>
      <c r="O1" s="17"/>
    </row>
    <row r="2" spans="1:15" ht="13.5" customHeight="1" x14ac:dyDescent="0.2">
      <c r="A2" s="228" t="s">
        <v>17</v>
      </c>
      <c r="B2" s="228"/>
      <c r="C2" s="228"/>
      <c r="D2" s="228"/>
      <c r="E2" s="228"/>
      <c r="F2" s="228"/>
      <c r="G2" s="228"/>
      <c r="H2" s="228"/>
      <c r="I2" s="228"/>
      <c r="J2" s="228"/>
      <c r="K2" s="228"/>
      <c r="L2" s="228"/>
      <c r="M2" s="228"/>
      <c r="N2" s="228"/>
      <c r="O2" s="228"/>
    </row>
    <row r="3" spans="1:15" ht="23.45" customHeight="1" x14ac:dyDescent="0.2">
      <c r="A3" s="17"/>
      <c r="B3" s="17"/>
      <c r="C3" s="17"/>
      <c r="D3" s="17"/>
      <c r="E3" s="17"/>
      <c r="F3" s="17"/>
      <c r="G3" s="17"/>
      <c r="H3" s="17"/>
      <c r="I3" s="17"/>
      <c r="J3" s="17"/>
      <c r="K3" s="17"/>
      <c r="L3" s="17"/>
      <c r="M3" s="17"/>
      <c r="N3" s="17"/>
      <c r="O3" s="17"/>
    </row>
    <row r="4" spans="1:15" ht="39.75" customHeight="1" x14ac:dyDescent="0.2">
      <c r="A4" s="236" t="s">
        <v>36</v>
      </c>
      <c r="B4" s="227" t="s">
        <v>93</v>
      </c>
      <c r="C4" s="227"/>
      <c r="D4" s="227" t="s">
        <v>111</v>
      </c>
      <c r="E4" s="227"/>
      <c r="F4" s="227" t="s">
        <v>112</v>
      </c>
      <c r="G4" s="227"/>
      <c r="H4" s="228" t="s">
        <v>113</v>
      </c>
      <c r="I4" s="228"/>
      <c r="J4" s="227" t="s">
        <v>122</v>
      </c>
      <c r="K4" s="227"/>
      <c r="L4" s="227" t="s">
        <v>123</v>
      </c>
      <c r="M4" s="227"/>
      <c r="N4" s="227" t="s">
        <v>116</v>
      </c>
      <c r="O4" s="227"/>
    </row>
    <row r="5" spans="1:15" x14ac:dyDescent="0.2">
      <c r="A5" s="246"/>
      <c r="B5" s="1">
        <v>2021</v>
      </c>
      <c r="C5" s="1">
        <v>2022</v>
      </c>
      <c r="D5" s="1">
        <v>2021</v>
      </c>
      <c r="E5" s="1">
        <v>2022</v>
      </c>
      <c r="F5" s="1">
        <v>2021</v>
      </c>
      <c r="G5" s="1">
        <v>2022</v>
      </c>
      <c r="H5" s="1">
        <v>2021</v>
      </c>
      <c r="I5" s="1">
        <v>2022</v>
      </c>
      <c r="J5" s="1">
        <v>2021</v>
      </c>
      <c r="K5" s="1">
        <v>2022</v>
      </c>
      <c r="L5" s="1">
        <v>2021</v>
      </c>
      <c r="M5" s="1">
        <v>2022</v>
      </c>
      <c r="N5" s="1">
        <v>2021</v>
      </c>
      <c r="O5" s="1">
        <v>2022</v>
      </c>
    </row>
    <row r="6" spans="1:15" ht="21.75" customHeight="1" x14ac:dyDescent="0.2">
      <c r="A6" s="98" t="s">
        <v>71</v>
      </c>
      <c r="B6" s="18"/>
      <c r="C6" s="18"/>
      <c r="D6" s="18"/>
      <c r="E6" s="18"/>
      <c r="F6" s="18"/>
      <c r="G6" s="18"/>
      <c r="H6" s="18"/>
      <c r="I6" s="18"/>
      <c r="J6" s="18"/>
      <c r="K6" s="18"/>
      <c r="L6" s="18"/>
      <c r="M6" s="18"/>
      <c r="N6" s="18"/>
      <c r="O6" s="18"/>
    </row>
    <row r="7" spans="1:15" s="32" customFormat="1" ht="21.75" customHeight="1" x14ac:dyDescent="0.2">
      <c r="A7" s="99" t="s">
        <v>72</v>
      </c>
      <c r="B7" s="92">
        <f>'6'!B8/'6'!B12</f>
        <v>1.1463156718726926</v>
      </c>
      <c r="C7" s="92">
        <f>'6'!C8/'6'!C12</f>
        <v>0.94630208119077786</v>
      </c>
      <c r="D7" s="92">
        <f>'6'!D8/'6'!D12</f>
        <v>1.1869804359585352</v>
      </c>
      <c r="E7" s="92">
        <f>'6'!E8/'6'!E12</f>
        <v>1.553643049860542</v>
      </c>
      <c r="F7" s="92">
        <f>'6'!F8/'6'!F12</f>
        <v>1.0417287142553968</v>
      </c>
      <c r="G7" s="92">
        <f>'6'!G8/'6'!G12</f>
        <v>1.2191786834650169</v>
      </c>
      <c r="H7" s="92">
        <f>'6'!H8/'6'!H12</f>
        <v>0.97074641514346527</v>
      </c>
      <c r="I7" s="92">
        <f>'6'!I8/'6'!I12</f>
        <v>1.2204575045541737</v>
      </c>
      <c r="J7" s="92">
        <f>'6'!J8/'6'!J12</f>
        <v>1.0105594097787727</v>
      </c>
      <c r="K7" s="92">
        <f>'6'!K8/'6'!K12</f>
        <v>0.99855313170570814</v>
      </c>
      <c r="L7" s="92">
        <f>'6'!L8/'6'!L12</f>
        <v>1.1791345026162841</v>
      </c>
      <c r="M7" s="92">
        <f>'6'!M8/'6'!M12</f>
        <v>0.62901096060312711</v>
      </c>
      <c r="N7" s="92">
        <f>'6'!N8/'6'!N12</f>
        <v>1.1175693162721052</v>
      </c>
      <c r="O7" s="92">
        <f>'6'!O8/'6'!O12</f>
        <v>1.3557925382946596</v>
      </c>
    </row>
    <row r="8" spans="1:15" s="32" customFormat="1" ht="18" customHeight="1" x14ac:dyDescent="0.2">
      <c r="A8" s="100" t="s">
        <v>73</v>
      </c>
      <c r="B8" s="62"/>
      <c r="C8" s="62"/>
      <c r="D8" s="62"/>
      <c r="E8" s="62"/>
      <c r="F8" s="62"/>
      <c r="G8" s="62"/>
      <c r="H8" s="62"/>
      <c r="I8" s="62"/>
      <c r="J8" s="62"/>
      <c r="K8" s="62"/>
      <c r="L8" s="62"/>
      <c r="M8" s="62"/>
      <c r="N8" s="62"/>
      <c r="O8" s="62"/>
    </row>
    <row r="9" spans="1:15" s="32" customFormat="1" ht="18" customHeight="1" x14ac:dyDescent="0.2">
      <c r="A9" s="101" t="s">
        <v>74</v>
      </c>
      <c r="B9" s="92">
        <f>'6'!B12/'6'!B14</f>
        <v>0.70173559962999943</v>
      </c>
      <c r="C9" s="92">
        <f>'6'!C12/'6'!C14</f>
        <v>0.67965297035198291</v>
      </c>
      <c r="D9" s="92">
        <f>'6'!D12/'6'!D14</f>
        <v>0.9601214494173429</v>
      </c>
      <c r="E9" s="92">
        <f>'6'!E12/'6'!E14</f>
        <v>0.973414925383015</v>
      </c>
      <c r="F9" s="92">
        <f>'6'!F12/'6'!F14</f>
        <v>0.32273646718633964</v>
      </c>
      <c r="G9" s="92">
        <f>'6'!G12/'6'!G14</f>
        <v>0.4088339109259268</v>
      </c>
      <c r="H9" s="92">
        <f>'6'!H12/'6'!H14</f>
        <v>0.35581379907634808</v>
      </c>
      <c r="I9" s="92">
        <f>'6'!I12/'6'!I14</f>
        <v>0.30200937757919188</v>
      </c>
      <c r="J9" s="92">
        <f>'6'!J12/'6'!J14</f>
        <v>0.99935021272151325</v>
      </c>
      <c r="K9" s="92">
        <f>'6'!K12/'6'!K14</f>
        <v>0.99952629819871019</v>
      </c>
      <c r="L9" s="92">
        <f>'6'!L12/'6'!L14</f>
        <v>0.78227832391366403</v>
      </c>
      <c r="M9" s="92">
        <f>'6'!M12/'6'!M14</f>
        <v>0.90627109950858031</v>
      </c>
      <c r="N9" s="92">
        <f>'6'!N12/'6'!N14</f>
        <v>0.86178005204603358</v>
      </c>
      <c r="O9" s="92">
        <f>'6'!O12/'6'!O14</f>
        <v>0.50003692993994064</v>
      </c>
    </row>
    <row r="10" spans="1:15" s="32" customFormat="1" ht="18" customHeight="1" x14ac:dyDescent="0.2">
      <c r="A10" s="101" t="s">
        <v>75</v>
      </c>
      <c r="B10" s="92">
        <f>'6'!B14/'6'!B26</f>
        <v>1.6448541234903722</v>
      </c>
      <c r="C10" s="92">
        <f>'6'!C14/'6'!C26</f>
        <v>2.5348333546918611</v>
      </c>
      <c r="D10" s="92">
        <f>'6'!D14/'6'!D26</f>
        <v>3.6087650013002728</v>
      </c>
      <c r="E10" s="92">
        <f>'6'!E14/'6'!E26</f>
        <v>1.2857410223079553</v>
      </c>
      <c r="F10" s="92">
        <f>'6'!F14/'6'!F26</f>
        <v>6.2524834958834461</v>
      </c>
      <c r="G10" s="92">
        <f>'6'!G14/'6'!G26</f>
        <v>12.665396673938135</v>
      </c>
      <c r="H10" s="92">
        <f>'6'!H14/'6'!H26</f>
        <v>4.1519648855119922</v>
      </c>
      <c r="I10" s="92">
        <f>'6'!I14/'6'!I26</f>
        <v>5.5873199695108609</v>
      </c>
      <c r="J10" s="92">
        <f>'6'!J14/'6'!J26</f>
        <v>2.8911385087610539</v>
      </c>
      <c r="K10" s="92">
        <f>'6'!K14/'6'!K26</f>
        <v>4.7612092219528765</v>
      </c>
      <c r="L10" s="92">
        <f>'6'!L14/'6'!L26</f>
        <v>0.64419588906872238</v>
      </c>
      <c r="M10" s="92">
        <f>'6'!M14/'6'!M26</f>
        <v>2.0666540155084676</v>
      </c>
      <c r="N10" s="92">
        <f>'6'!N14/'6'!N26</f>
        <v>2.4867936630324685</v>
      </c>
      <c r="O10" s="92">
        <f>'6'!O14/'6'!O26</f>
        <v>1.4440214848096369</v>
      </c>
    </row>
    <row r="11" spans="1:15" s="32" customFormat="1" ht="18" customHeight="1" x14ac:dyDescent="0.2">
      <c r="A11" s="102" t="s">
        <v>76</v>
      </c>
      <c r="B11" s="92">
        <f>'6'!B13/'6'!B26</f>
        <v>0.49060142883897884</v>
      </c>
      <c r="C11" s="92">
        <f>'6'!C13/'6'!C26</f>
        <v>0.81202633582825623</v>
      </c>
      <c r="D11" s="92">
        <f>'6'!D13/'6'!D26</f>
        <v>0.14391231764527568</v>
      </c>
      <c r="E11" s="92">
        <f>'6'!E13/'6'!E26</f>
        <v>3.4181521016175505E-2</v>
      </c>
      <c r="F11" s="92">
        <f>'6'!F13/'6'!F26</f>
        <v>4.2345790612811278</v>
      </c>
      <c r="G11" s="92">
        <f>'6'!G13/'6'!G26</f>
        <v>7.4873530183037822</v>
      </c>
      <c r="H11" s="92">
        <f>'6'!H13/'6'!H26</f>
        <v>2.6746384859663759</v>
      </c>
      <c r="I11" s="92">
        <f>'6'!I13/'6'!I26</f>
        <v>3.8998969431830965</v>
      </c>
      <c r="J11" s="92">
        <f>'6'!J13/'6'!J26</f>
        <v>1.878625023336156E-3</v>
      </c>
      <c r="K11" s="92">
        <f>'6'!K13/'6'!K26</f>
        <v>2.255393384756547E-3</v>
      </c>
      <c r="L11" s="92">
        <f>'6'!L13/'6'!L26</f>
        <v>0.14025540869596956</v>
      </c>
      <c r="M11" s="92">
        <f>'6'!M13/'6'!M26</f>
        <v>0.19370520856978601</v>
      </c>
      <c r="N11" s="92">
        <f>'6'!N13/'6'!N26</f>
        <v>0.34372449067660138</v>
      </c>
      <c r="O11" s="92">
        <f>'6'!O13/'6'!O26</f>
        <v>0.72195741477811137</v>
      </c>
    </row>
    <row r="12" spans="1:15" s="32" customFormat="1" ht="18" customHeight="1" x14ac:dyDescent="0.2">
      <c r="A12" s="101" t="s">
        <v>77</v>
      </c>
      <c r="B12" s="92">
        <f>'6'!B14/'6'!B10</f>
        <v>0.62190731385959552</v>
      </c>
      <c r="C12" s="92">
        <f>'6'!C14/'6'!C10</f>
        <v>0.71710123231900647</v>
      </c>
      <c r="D12" s="92">
        <f>'6'!D14/'6'!D10</f>
        <v>0.78302213288855704</v>
      </c>
      <c r="E12" s="92">
        <f>'6'!E14/'6'!E10</f>
        <v>0.56250511749127141</v>
      </c>
      <c r="F12" s="92">
        <f>'6'!F14/'6'!F10</f>
        <v>0.86211619777313442</v>
      </c>
      <c r="G12" s="92">
        <f>'6'!G14/'6'!G10</f>
        <v>0.92682246817561154</v>
      </c>
      <c r="H12" s="92">
        <f>'6'!H14/'6'!H10</f>
        <v>0.80589929818579853</v>
      </c>
      <c r="I12" s="92">
        <f>'6'!I14/'6'!I10</f>
        <v>0.84819319470915955</v>
      </c>
      <c r="J12" s="92">
        <f>'6'!J14/'6'!J10</f>
        <v>0.74300580723393428</v>
      </c>
      <c r="K12" s="92">
        <f>'6'!K14/'6'!K10</f>
        <v>0.82642532817771364</v>
      </c>
      <c r="L12" s="92">
        <f>'6'!L14/'6'!L10</f>
        <v>0.39179996334475503</v>
      </c>
      <c r="M12" s="92">
        <f>'6'!M14/'6'!M10</f>
        <v>0.67391169824086117</v>
      </c>
      <c r="N12" s="92">
        <f>'6'!N14/'6'!N10</f>
        <v>0.7132035627452934</v>
      </c>
      <c r="O12" s="92">
        <f>'6'!O14/'6'!O10</f>
        <v>0.59083829409221034</v>
      </c>
    </row>
    <row r="13" spans="1:15" s="32" customFormat="1" ht="18" customHeight="1" x14ac:dyDescent="0.2">
      <c r="A13" s="100" t="s">
        <v>78</v>
      </c>
      <c r="B13" s="62"/>
      <c r="C13" s="62"/>
      <c r="D13" s="62"/>
      <c r="E13" s="62"/>
      <c r="F13" s="62"/>
      <c r="G13" s="62"/>
      <c r="H13" s="62"/>
      <c r="I13" s="62"/>
      <c r="J13" s="62"/>
      <c r="K13" s="62"/>
      <c r="L13" s="62"/>
      <c r="M13" s="62"/>
      <c r="N13" s="62"/>
      <c r="O13" s="62"/>
    </row>
    <row r="14" spans="1:15" s="32" customFormat="1" ht="18" customHeight="1" x14ac:dyDescent="0.2">
      <c r="A14" s="101" t="s">
        <v>79</v>
      </c>
      <c r="B14" s="92">
        <f>'6'!B10/'6'!B14</f>
        <v>1.6079566483853323</v>
      </c>
      <c r="C14" s="92">
        <f>'6'!C10/'6'!C14</f>
        <v>1.3945032513277631</v>
      </c>
      <c r="D14" s="92">
        <f>'6'!D10/'6'!D14</f>
        <v>1.2771031085813818</v>
      </c>
      <c r="E14" s="92">
        <f>'6'!E10/'6'!E14</f>
        <v>1.7777616041253479</v>
      </c>
      <c r="F14" s="92">
        <f>'6'!F10/'6'!F14</f>
        <v>1.1599364477584606</v>
      </c>
      <c r="G14" s="92">
        <f>'6'!G10/'6'!G14</f>
        <v>1.0789552846819019</v>
      </c>
      <c r="H14" s="92">
        <f>'6'!H10/'6'!H14</f>
        <v>1.2408498211267234</v>
      </c>
      <c r="I14" s="92">
        <f>'6'!I10/'6'!I14</f>
        <v>1.1789766838943976</v>
      </c>
      <c r="J14" s="92">
        <f>'6'!J10/'6'!J14</f>
        <v>1.3458845008531024</v>
      </c>
      <c r="K14" s="92">
        <f>'6'!K10/'6'!K14</f>
        <v>1.2100306777927805</v>
      </c>
      <c r="L14" s="92">
        <f>'6'!L10/'6'!L14</f>
        <v>2.5523228523635</v>
      </c>
      <c r="M14" s="92">
        <f>'6'!M10/'6'!M14</f>
        <v>1.4838739297898229</v>
      </c>
      <c r="N14" s="92">
        <f>'6'!N10/'6'!N14</f>
        <v>1.4021242352614696</v>
      </c>
      <c r="O14" s="92">
        <f>'6'!O10/'6'!O14</f>
        <v>1.6925104719836135</v>
      </c>
    </row>
    <row r="15" spans="1:15" s="32" customFormat="1" ht="18" customHeight="1" x14ac:dyDescent="0.2">
      <c r="A15" s="101" t="s">
        <v>80</v>
      </c>
      <c r="B15" s="92">
        <f>'6'!B10/'6'!B12</f>
        <v>2.2913995659236206</v>
      </c>
      <c r="C15" s="92">
        <f>'6'!C10/'6'!C12</f>
        <v>2.0517871798685277</v>
      </c>
      <c r="D15" s="92">
        <f>'6'!D10/'6'!D12</f>
        <v>1.3301474614033482</v>
      </c>
      <c r="E15" s="92">
        <f>'6'!E10/'6'!E12</f>
        <v>1.8263143062305542</v>
      </c>
      <c r="F15" s="92">
        <f>'6'!F10/'6'!F12</f>
        <v>3.5940668802349611</v>
      </c>
      <c r="G15" s="92">
        <f>'6'!G10/'6'!G12</f>
        <v>2.6391041835015221</v>
      </c>
      <c r="H15" s="92">
        <f>'6'!H10/'6'!H12</f>
        <v>3.487357219837532</v>
      </c>
      <c r="I15" s="92">
        <f>'6'!I10/'6'!I12</f>
        <v>3.9037750858754383</v>
      </c>
      <c r="J15" s="92">
        <f>'6'!J10/'6'!J12</f>
        <v>1.3467596081136346</v>
      </c>
      <c r="K15" s="92">
        <f>'6'!K10/'6'!K12</f>
        <v>1.2106041431560424</v>
      </c>
      <c r="L15" s="92">
        <f>'6'!L10/'6'!L12</f>
        <v>3.2626787351009185</v>
      </c>
      <c r="M15" s="92">
        <f>'6'!M10/'6'!M12</f>
        <v>1.6373400085189123</v>
      </c>
      <c r="N15" s="92">
        <f>'6'!N10/'6'!N12</f>
        <v>1.6270093882221499</v>
      </c>
      <c r="O15" s="92">
        <f>'6'!O10/'6'!O12</f>
        <v>3.3847709451917898</v>
      </c>
    </row>
    <row r="16" spans="1:15" s="32" customFormat="1" ht="18" customHeight="1" x14ac:dyDescent="0.2">
      <c r="A16" s="100" t="s">
        <v>81</v>
      </c>
      <c r="B16" s="62"/>
      <c r="C16" s="62"/>
      <c r="D16" s="62"/>
      <c r="E16" s="62"/>
      <c r="F16" s="62"/>
      <c r="G16" s="62"/>
      <c r="H16" s="62"/>
      <c r="I16" s="62"/>
      <c r="J16" s="62"/>
      <c r="K16" s="62"/>
      <c r="L16" s="62"/>
      <c r="M16" s="62"/>
      <c r="N16" s="62"/>
      <c r="O16" s="62"/>
    </row>
    <row r="17" spans="1:15" s="32" customFormat="1" ht="18" customHeight="1" x14ac:dyDescent="0.2">
      <c r="A17" s="101" t="s">
        <v>82</v>
      </c>
      <c r="B17" s="92">
        <f>'6'!B9/'6'!B13</f>
        <v>2.6940732183313663</v>
      </c>
      <c r="C17" s="92">
        <f>'6'!C9/'6'!C13</f>
        <v>2.3454134468539731</v>
      </c>
      <c r="D17" s="92">
        <f>'6'!D9/'6'!D13</f>
        <v>3.4469089264899897</v>
      </c>
      <c r="E17" s="92">
        <f>'6'!E9/'6'!E13</f>
        <v>9.9838828552293233</v>
      </c>
      <c r="F17" s="92">
        <f>'6'!F9/'6'!F13</f>
        <v>1.2162659922511205</v>
      </c>
      <c r="G17" s="92">
        <f>'6'!G9/'6'!G13</f>
        <v>0.98198070919903213</v>
      </c>
      <c r="H17" s="92">
        <f>'6'!H9/'6'!H13</f>
        <v>1.390040410568975</v>
      </c>
      <c r="I17" s="92">
        <f>'6'!I9/'6'!I13</f>
        <v>1.1610285963033575</v>
      </c>
      <c r="J17" s="92">
        <f>'6'!J9/'6'!J13</f>
        <v>517.06420061869176</v>
      </c>
      <c r="K17" s="92">
        <f>'6'!K9/'6'!K13</f>
        <v>447.43457155357402</v>
      </c>
      <c r="L17" s="92">
        <f>'6'!L9/'6'!L13</f>
        <v>7.4862159766845275</v>
      </c>
      <c r="M17" s="92">
        <f>'6'!M9/'6'!M13</f>
        <v>9.7496019918075714</v>
      </c>
      <c r="N17" s="92">
        <f>'6'!N9/'6'!N13</f>
        <v>3.1762802563466463</v>
      </c>
      <c r="O17" s="92">
        <f>'6'!O9/'6'!O13</f>
        <v>2.0292781492388938</v>
      </c>
    </row>
    <row r="18" spans="1:15" s="32" customFormat="1" ht="18" customHeight="1" x14ac:dyDescent="0.2">
      <c r="A18" s="101" t="s">
        <v>83</v>
      </c>
      <c r="B18" s="92">
        <f>'6'!B10/'6'!B14</f>
        <v>1.6079566483853323</v>
      </c>
      <c r="C18" s="92">
        <f>'6'!C10/'6'!C14</f>
        <v>1.3945032513277631</v>
      </c>
      <c r="D18" s="92">
        <f>'6'!D10/'6'!D14</f>
        <v>1.2771031085813818</v>
      </c>
      <c r="E18" s="92">
        <f>'6'!E10/'6'!E14</f>
        <v>1.7777616041253479</v>
      </c>
      <c r="F18" s="92">
        <f>'6'!F10/'6'!F14</f>
        <v>1.1599364477584606</v>
      </c>
      <c r="G18" s="92">
        <f>'6'!G10/'6'!G14</f>
        <v>1.0789552846819019</v>
      </c>
      <c r="H18" s="92">
        <f>'6'!H10/'6'!H14</f>
        <v>1.2408498211267234</v>
      </c>
      <c r="I18" s="92">
        <f>'6'!I10/'6'!I14</f>
        <v>1.1789766838943976</v>
      </c>
      <c r="J18" s="92">
        <f>'6'!J10/'6'!J14</f>
        <v>1.3458845008531024</v>
      </c>
      <c r="K18" s="92">
        <f>'6'!K10/'6'!K14</f>
        <v>1.2100306777927805</v>
      </c>
      <c r="L18" s="92">
        <f>'6'!L10/'6'!L14</f>
        <v>2.5523228523635</v>
      </c>
      <c r="M18" s="92">
        <f>'6'!M10/'6'!M14</f>
        <v>1.4838739297898229</v>
      </c>
      <c r="N18" s="92">
        <f>'6'!N10/'6'!N14</f>
        <v>1.4021242352614696</v>
      </c>
      <c r="O18" s="92">
        <f>'6'!O10/'6'!O14</f>
        <v>1.6925104719836135</v>
      </c>
    </row>
    <row r="19" spans="1:15" s="32" customFormat="1" ht="18" customHeight="1" x14ac:dyDescent="0.2">
      <c r="A19" s="100" t="s">
        <v>84</v>
      </c>
      <c r="B19" s="62"/>
      <c r="C19" s="62"/>
      <c r="D19" s="62"/>
      <c r="E19" s="62"/>
      <c r="F19" s="62"/>
      <c r="G19" s="62"/>
      <c r="H19" s="62"/>
      <c r="I19" s="62"/>
      <c r="J19" s="62"/>
      <c r="K19" s="62"/>
      <c r="L19" s="62"/>
      <c r="M19" s="62"/>
      <c r="N19" s="62"/>
      <c r="O19" s="62"/>
    </row>
    <row r="20" spans="1:15" s="32" customFormat="1" ht="18" customHeight="1" x14ac:dyDescent="0.2">
      <c r="A20" s="101" t="s">
        <v>85</v>
      </c>
      <c r="B20" s="92">
        <f>'6'!B26/'6'!B10</f>
        <v>0.37809268614040453</v>
      </c>
      <c r="C20" s="92">
        <f>'6'!C26/'6'!C10</f>
        <v>0.28289876768099359</v>
      </c>
      <c r="D20" s="92">
        <f>'6'!D26/'6'!D10</f>
        <v>0.21697786711144298</v>
      </c>
      <c r="E20" s="92">
        <f>'6'!E26/'6'!E10</f>
        <v>0.43749488250872859</v>
      </c>
      <c r="F20" s="92">
        <f>'6'!F26/'6'!F10</f>
        <v>0.13788380222686561</v>
      </c>
      <c r="G20" s="92">
        <f>'6'!G26/'6'!G10</f>
        <v>7.317753182438845E-2</v>
      </c>
      <c r="H20" s="92">
        <f>'6'!H26/'6'!H10</f>
        <v>0.1941007018142015</v>
      </c>
      <c r="I20" s="92">
        <f>'6'!I26/'6'!I10</f>
        <v>0.1518068052908404</v>
      </c>
      <c r="J20" s="92">
        <f>'6'!J26/'6'!J10</f>
        <v>0.25699419276606578</v>
      </c>
      <c r="K20" s="92">
        <f>'6'!K26/'6'!K10</f>
        <v>0.17357467182228631</v>
      </c>
      <c r="L20" s="92">
        <f>'6'!L26/'6'!L10</f>
        <v>0.60820003665524491</v>
      </c>
      <c r="M20" s="92">
        <f>'6'!M26/'6'!M10</f>
        <v>0.32608830175913883</v>
      </c>
      <c r="N20" s="92">
        <f>'6'!N26/'6'!N10</f>
        <v>0.2867964372547066</v>
      </c>
      <c r="O20" s="92">
        <f>'6'!O26/'6'!O10</f>
        <v>0.40916170590778966</v>
      </c>
    </row>
    <row r="21" spans="1:15" s="32" customFormat="1" ht="18" customHeight="1" x14ac:dyDescent="0.2">
      <c r="A21" s="100" t="s">
        <v>86</v>
      </c>
      <c r="B21" s="62"/>
      <c r="C21" s="62"/>
      <c r="D21" s="62"/>
      <c r="E21" s="62"/>
      <c r="F21" s="62"/>
      <c r="G21" s="62"/>
      <c r="H21" s="62"/>
      <c r="I21" s="62"/>
      <c r="J21" s="62"/>
      <c r="K21" s="62"/>
      <c r="L21" s="62"/>
      <c r="M21" s="62"/>
      <c r="N21" s="62"/>
      <c r="O21" s="62"/>
    </row>
    <row r="22" spans="1:15" s="32" customFormat="1" ht="18" customHeight="1" x14ac:dyDescent="0.2">
      <c r="A22" s="101" t="s">
        <v>87</v>
      </c>
      <c r="B22" s="92">
        <f>'6'!B31/'6'!B28</f>
        <v>1.8860451052257643E-2</v>
      </c>
      <c r="C22" s="92">
        <f>'6'!C31/'6'!C28</f>
        <v>-3.1319440026940953E-2</v>
      </c>
      <c r="D22" s="92">
        <f>'6'!D31/'6'!D28</f>
        <v>2.587313141111262E-2</v>
      </c>
      <c r="E22" s="92">
        <f>'6'!E31/'6'!E28</f>
        <v>2.165369770372727E-2</v>
      </c>
      <c r="F22" s="92">
        <f>'6'!F31/'6'!F28</f>
        <v>-0.16100808581864998</v>
      </c>
      <c r="G22" s="92">
        <f>'6'!G31/'6'!G28</f>
        <v>-0.12580735914577734</v>
      </c>
      <c r="H22" s="92">
        <f>'6'!H31/'6'!H28</f>
        <v>1.4775139895217195E-2</v>
      </c>
      <c r="I22" s="92">
        <f>'6'!I31/'6'!I28</f>
        <v>1.0778400846687476E-2</v>
      </c>
      <c r="J22" s="92">
        <f>'6'!J31/'6'!J28</f>
        <v>-2.6401695232323601E-2</v>
      </c>
      <c r="K22" s="92">
        <f>'6'!K31/'6'!K28</f>
        <v>-5.0896013172233977E-3</v>
      </c>
      <c r="L22" s="92">
        <f>'6'!L31/'6'!L28</f>
        <v>2.3232605517112537E-2</v>
      </c>
      <c r="M22" s="92">
        <f>'6'!M31/'6'!M28</f>
        <v>-0.18423309385803124</v>
      </c>
      <c r="N22" s="92">
        <f>'6'!N31/'6'!N28</f>
        <v>-9.6048539891613285E-2</v>
      </c>
      <c r="O22" s="92">
        <f>'6'!O31/'6'!O28</f>
        <v>7.8169120942428935E-2</v>
      </c>
    </row>
    <row r="23" spans="1:15" s="32" customFormat="1" ht="18" customHeight="1" x14ac:dyDescent="0.2">
      <c r="A23" s="101" t="s">
        <v>88</v>
      </c>
      <c r="B23" s="92">
        <f>'6'!B36/'6'!B28</f>
        <v>5.505642662567257E-3</v>
      </c>
      <c r="C23" s="92">
        <f>'6'!C36/'6'!C28</f>
        <v>-4.2528652161592163E-2</v>
      </c>
      <c r="D23" s="92">
        <f>'6'!D36/'6'!D28</f>
        <v>1.9911587033788786E-2</v>
      </c>
      <c r="E23" s="92">
        <f>'6'!E36/'6'!E28</f>
        <v>2.0820136335065281E-2</v>
      </c>
      <c r="F23" s="92">
        <f>'6'!F36/'6'!F28</f>
        <v>-8.2502529940293348E-2</v>
      </c>
      <c r="G23" s="92">
        <f>'6'!G36/'6'!G28</f>
        <v>-0.14489258562991306</v>
      </c>
      <c r="H23" s="92">
        <f>'6'!H36/'6'!H28</f>
        <v>2.6156669407795094E-3</v>
      </c>
      <c r="I23" s="92">
        <f>'6'!I36/'6'!I28</f>
        <v>1.8936598451407905E-3</v>
      </c>
      <c r="J23" s="92">
        <f>'6'!J36/'6'!J28</f>
        <v>-0.35270968511347611</v>
      </c>
      <c r="K23" s="92">
        <f>'6'!K36/'6'!K28</f>
        <v>-3.8471910984508854E-2</v>
      </c>
      <c r="L23" s="92">
        <f>'6'!L36/'6'!L28</f>
        <v>3.6067191134246361E-5</v>
      </c>
      <c r="M23" s="92">
        <f>'6'!M36/'6'!M28</f>
        <v>-0.21531004441250071</v>
      </c>
      <c r="N23" s="92">
        <f>'6'!N36/'6'!N28</f>
        <v>-0.24841347776834269</v>
      </c>
      <c r="O23" s="92">
        <f>'6'!O36/'6'!O28</f>
        <v>4.8617467772016379E-2</v>
      </c>
    </row>
    <row r="24" spans="1:15" s="32" customFormat="1" ht="18" customHeight="1" x14ac:dyDescent="0.2">
      <c r="A24" s="100" t="s">
        <v>89</v>
      </c>
      <c r="B24" s="62"/>
      <c r="C24" s="62"/>
      <c r="D24" s="62"/>
      <c r="E24" s="62"/>
      <c r="F24" s="62"/>
      <c r="G24" s="62"/>
      <c r="H24" s="62"/>
      <c r="I24" s="62"/>
      <c r="J24" s="62"/>
      <c r="K24" s="62"/>
      <c r="L24" s="62"/>
      <c r="M24" s="62"/>
      <c r="N24" s="62"/>
      <c r="O24" s="62"/>
    </row>
    <row r="25" spans="1:15" s="32" customFormat="1" ht="18" customHeight="1" x14ac:dyDescent="0.2">
      <c r="A25" s="102" t="s">
        <v>90</v>
      </c>
      <c r="B25" s="101">
        <f>'6'!B8-'6'!B12</f>
        <v>13403945292</v>
      </c>
      <c r="C25" s="101">
        <f>'6'!C8-'6'!C12</f>
        <v>-5476231283</v>
      </c>
      <c r="D25" s="101">
        <f>'6'!D8-'6'!D12</f>
        <v>8458385337</v>
      </c>
      <c r="E25" s="101">
        <f>'6'!E8-'6'!E12</f>
        <v>11642251736</v>
      </c>
      <c r="F25" s="101">
        <f>'6'!F8-'6'!F12</f>
        <v>130054587</v>
      </c>
      <c r="G25" s="101">
        <f>'6'!G8-'6'!G12</f>
        <v>994022712</v>
      </c>
      <c r="H25" s="101">
        <f>'6'!H8-'6'!H12</f>
        <v>-364037351</v>
      </c>
      <c r="I25" s="101">
        <f>'6'!I8-'6'!I12</f>
        <v>3254106744</v>
      </c>
      <c r="J25" s="101">
        <f>'6'!J8-'6'!J12</f>
        <v>15024895</v>
      </c>
      <c r="K25" s="101">
        <f>'6'!K8-'6'!K12</f>
        <v>-3663451</v>
      </c>
      <c r="L25" s="96">
        <f>'6'!L8-'6'!L12</f>
        <v>4973330332</v>
      </c>
      <c r="M25" s="101">
        <f>'6'!M8-'6'!M12</f>
        <v>-21643013478</v>
      </c>
      <c r="N25" s="96">
        <f>'6'!N8-'6'!N12</f>
        <v>191187492</v>
      </c>
      <c r="O25" s="96">
        <f>'6'!O8-'6'!O12</f>
        <v>280064454</v>
      </c>
    </row>
    <row r="26" spans="1:15" ht="15.75" customHeight="1" x14ac:dyDescent="0.2">
      <c r="A26" s="10" t="s">
        <v>124</v>
      </c>
      <c r="B26" s="17"/>
      <c r="C26" s="17"/>
      <c r="D26" s="17"/>
      <c r="E26" s="17"/>
      <c r="F26" s="17"/>
      <c r="G26" s="17"/>
      <c r="H26" s="17"/>
      <c r="I26" s="17"/>
      <c r="J26" s="17"/>
      <c r="K26" s="17"/>
      <c r="L26" s="17"/>
      <c r="M26" s="17"/>
      <c r="N26" s="17"/>
      <c r="O26" s="17"/>
    </row>
    <row r="27" spans="1:15" x14ac:dyDescent="0.2">
      <c r="A27" s="17"/>
      <c r="B27" s="17"/>
      <c r="C27" s="17"/>
      <c r="D27" s="17"/>
      <c r="E27" s="17"/>
      <c r="F27" s="17"/>
      <c r="G27" s="17"/>
      <c r="H27" s="17"/>
      <c r="I27" s="17"/>
      <c r="J27" s="17"/>
      <c r="K27" s="17"/>
      <c r="L27" s="17"/>
      <c r="M27" s="17"/>
      <c r="N27" s="17"/>
      <c r="O27" s="17"/>
    </row>
    <row r="28" spans="1:15" x14ac:dyDescent="0.2">
      <c r="A28" s="17"/>
      <c r="B28" s="17"/>
      <c r="C28" s="17"/>
      <c r="D28" s="17"/>
      <c r="E28" s="17"/>
      <c r="F28" s="17"/>
      <c r="G28" s="17"/>
      <c r="H28" s="17"/>
      <c r="I28" s="17"/>
      <c r="J28" s="17"/>
      <c r="K28" s="17"/>
      <c r="L28" s="17"/>
      <c r="M28" s="17"/>
      <c r="N28" s="17"/>
      <c r="O28" s="17"/>
    </row>
    <row r="29" spans="1:15" x14ac:dyDescent="0.2">
      <c r="A29" s="17"/>
      <c r="B29" s="17"/>
      <c r="C29" s="17"/>
      <c r="D29" s="17"/>
      <c r="E29" s="17"/>
      <c r="F29" s="17"/>
      <c r="G29" s="17"/>
      <c r="H29" s="17"/>
      <c r="I29" s="17"/>
      <c r="J29" s="17"/>
      <c r="K29" s="17"/>
      <c r="L29" s="17"/>
      <c r="M29" s="17"/>
      <c r="N29" s="17"/>
      <c r="O29" s="17"/>
    </row>
    <row r="30" spans="1:15" x14ac:dyDescent="0.2">
      <c r="A30" s="17"/>
      <c r="B30" s="17"/>
      <c r="C30" s="17"/>
      <c r="D30" s="17"/>
      <c r="E30" s="17"/>
      <c r="F30" s="17"/>
      <c r="G30" s="17"/>
      <c r="H30" s="17"/>
      <c r="I30" s="17"/>
      <c r="J30" s="17"/>
      <c r="K30" s="17"/>
      <c r="L30" s="17"/>
      <c r="M30" s="17"/>
      <c r="N30" s="17"/>
      <c r="O30" s="17"/>
    </row>
    <row r="31" spans="1:15" x14ac:dyDescent="0.2">
      <c r="A31" s="17"/>
      <c r="B31" s="17"/>
      <c r="C31" s="17"/>
      <c r="D31" s="17"/>
      <c r="E31" s="17"/>
      <c r="F31" s="17"/>
      <c r="G31" s="17"/>
      <c r="H31" s="17"/>
      <c r="I31" s="17"/>
      <c r="J31" s="17"/>
      <c r="K31" s="17"/>
      <c r="L31" s="17"/>
      <c r="M31" s="17"/>
      <c r="N31" s="17"/>
      <c r="O31" s="17"/>
    </row>
    <row r="32" spans="1:15" x14ac:dyDescent="0.2">
      <c r="A32" s="17"/>
      <c r="B32" s="17"/>
      <c r="C32" s="17"/>
      <c r="D32" s="17"/>
      <c r="E32" s="17"/>
      <c r="F32" s="17"/>
      <c r="G32" s="17"/>
      <c r="H32" s="17"/>
      <c r="I32" s="17"/>
      <c r="J32" s="17"/>
      <c r="K32" s="17"/>
      <c r="L32" s="17"/>
      <c r="M32" s="17"/>
      <c r="N32" s="17"/>
      <c r="O32" s="17"/>
    </row>
    <row r="33" spans="1:15" x14ac:dyDescent="0.2">
      <c r="A33" s="17"/>
      <c r="B33" s="17"/>
      <c r="C33" s="17"/>
      <c r="D33" s="17"/>
      <c r="E33" s="17"/>
      <c r="F33" s="17"/>
      <c r="G33" s="17"/>
      <c r="H33" s="17"/>
      <c r="I33" s="17"/>
      <c r="J33" s="17"/>
      <c r="K33" s="17"/>
      <c r="L33" s="17"/>
      <c r="M33" s="17"/>
      <c r="N33" s="17"/>
      <c r="O33" s="17"/>
    </row>
    <row r="34" spans="1:15" x14ac:dyDescent="0.2">
      <c r="A34" s="174"/>
      <c r="B34" s="175"/>
      <c r="C34" s="175"/>
      <c r="D34" s="17"/>
      <c r="E34" s="17"/>
      <c r="F34" s="17"/>
      <c r="G34" s="17"/>
      <c r="H34" s="17"/>
      <c r="I34" s="17"/>
      <c r="J34" s="17"/>
      <c r="K34" s="17"/>
      <c r="L34" s="17"/>
      <c r="M34" s="17"/>
      <c r="N34" s="17"/>
      <c r="O34" s="17"/>
    </row>
    <row r="35" spans="1:15" x14ac:dyDescent="0.2">
      <c r="A35" s="17"/>
      <c r="B35" s="17"/>
      <c r="C35" s="17"/>
      <c r="D35" s="17"/>
      <c r="E35" s="17"/>
      <c r="F35" s="17"/>
      <c r="G35" s="17"/>
      <c r="H35" s="17"/>
      <c r="I35" s="17"/>
      <c r="J35" s="17"/>
      <c r="K35" s="17"/>
      <c r="L35" s="17"/>
      <c r="M35" s="17"/>
      <c r="N35" s="17"/>
      <c r="O35" s="17"/>
    </row>
    <row r="36" spans="1:15" x14ac:dyDescent="0.2">
      <c r="A36" s="17"/>
      <c r="B36" s="17"/>
      <c r="C36" s="17"/>
      <c r="D36" s="17"/>
      <c r="E36" s="17"/>
      <c r="F36" s="17"/>
      <c r="G36" s="17"/>
      <c r="H36" s="17"/>
      <c r="I36" s="17"/>
      <c r="J36" s="17"/>
      <c r="K36" s="17"/>
      <c r="L36" s="17"/>
      <c r="M36" s="17"/>
      <c r="N36" s="17"/>
      <c r="O36" s="17"/>
    </row>
    <row r="37" spans="1:15" x14ac:dyDescent="0.2">
      <c r="A37" s="17"/>
      <c r="B37" s="176"/>
      <c r="C37" s="176"/>
      <c r="D37" s="17"/>
      <c r="E37" s="17"/>
      <c r="F37" s="17"/>
      <c r="G37" s="17"/>
      <c r="H37" s="17"/>
      <c r="I37" s="17"/>
      <c r="J37" s="17"/>
      <c r="K37" s="17"/>
      <c r="L37" s="17"/>
      <c r="M37" s="17"/>
      <c r="N37" s="17"/>
      <c r="O37" s="17"/>
    </row>
    <row r="38" spans="1:15" x14ac:dyDescent="0.2">
      <c r="A38" s="17"/>
      <c r="B38" s="17"/>
      <c r="C38" s="17"/>
      <c r="D38" s="17"/>
      <c r="E38" s="17"/>
      <c r="F38" s="17"/>
      <c r="G38" s="17"/>
      <c r="H38" s="17"/>
      <c r="I38" s="17"/>
      <c r="J38" s="17"/>
      <c r="K38" s="17"/>
      <c r="L38" s="17"/>
      <c r="M38" s="17"/>
      <c r="N38" s="17"/>
      <c r="O38" s="17"/>
    </row>
    <row r="39" spans="1:15" x14ac:dyDescent="0.2">
      <c r="A39" s="17"/>
      <c r="B39" s="17"/>
      <c r="C39" s="17"/>
      <c r="D39" s="17"/>
      <c r="E39" s="17"/>
      <c r="F39" s="17"/>
      <c r="G39" s="17"/>
      <c r="H39" s="17"/>
      <c r="I39" s="17"/>
      <c r="J39" s="17"/>
      <c r="K39" s="17"/>
      <c r="L39" s="17"/>
      <c r="M39" s="17"/>
      <c r="N39" s="17"/>
      <c r="O39" s="17"/>
    </row>
    <row r="40" spans="1:15" x14ac:dyDescent="0.2">
      <c r="A40" s="17"/>
      <c r="B40" s="17"/>
      <c r="C40" s="17"/>
      <c r="D40" s="17"/>
      <c r="E40" s="17"/>
      <c r="F40" s="17"/>
      <c r="G40" s="17"/>
      <c r="H40" s="17"/>
      <c r="I40" s="17"/>
      <c r="J40" s="17"/>
      <c r="K40" s="17"/>
      <c r="L40" s="17"/>
      <c r="M40" s="17"/>
      <c r="N40" s="17"/>
      <c r="O40" s="17"/>
    </row>
    <row r="41" spans="1:15" x14ac:dyDescent="0.2">
      <c r="A41" s="17"/>
      <c r="B41" s="17"/>
      <c r="C41" s="17"/>
      <c r="D41" s="17"/>
      <c r="E41" s="17"/>
      <c r="F41" s="17"/>
      <c r="G41" s="17"/>
      <c r="H41" s="17"/>
      <c r="I41" s="17"/>
      <c r="J41" s="17"/>
      <c r="K41" s="17"/>
      <c r="L41" s="17"/>
      <c r="M41" s="17"/>
      <c r="N41" s="17"/>
      <c r="O41" s="17"/>
    </row>
    <row r="42" spans="1:15" x14ac:dyDescent="0.2">
      <c r="A42" s="17"/>
      <c r="B42" s="17"/>
      <c r="C42" s="17"/>
      <c r="D42" s="17"/>
      <c r="E42" s="17"/>
      <c r="F42" s="17"/>
      <c r="G42" s="17"/>
      <c r="H42" s="17"/>
      <c r="I42" s="17"/>
      <c r="J42" s="17"/>
      <c r="K42" s="17"/>
      <c r="L42" s="17"/>
      <c r="M42" s="17"/>
      <c r="N42" s="17"/>
      <c r="O42" s="17"/>
    </row>
    <row r="43" spans="1:15" x14ac:dyDescent="0.2">
      <c r="A43" s="17"/>
      <c r="B43" s="17"/>
      <c r="C43" s="17"/>
      <c r="D43" s="17"/>
      <c r="E43" s="17"/>
      <c r="F43" s="17"/>
      <c r="G43" s="17"/>
      <c r="H43" s="17"/>
      <c r="I43" s="17"/>
      <c r="J43" s="17"/>
      <c r="K43" s="17"/>
      <c r="L43" s="17"/>
      <c r="M43" s="17"/>
      <c r="N43" s="17"/>
      <c r="O43" s="17"/>
    </row>
    <row r="44" spans="1:15" x14ac:dyDescent="0.2">
      <c r="A44" s="17"/>
      <c r="B44" s="17"/>
      <c r="C44" s="17"/>
      <c r="D44" s="17"/>
      <c r="E44" s="17"/>
      <c r="F44" s="17"/>
      <c r="G44" s="17"/>
      <c r="H44" s="17"/>
      <c r="I44" s="17"/>
      <c r="J44" s="17"/>
      <c r="K44" s="17"/>
      <c r="L44" s="17"/>
      <c r="M44" s="17"/>
      <c r="N44" s="17"/>
      <c r="O44" s="17"/>
    </row>
    <row r="45" spans="1:15" x14ac:dyDescent="0.2">
      <c r="A45" s="17"/>
      <c r="B45" s="17"/>
      <c r="C45" s="17"/>
      <c r="D45" s="17"/>
      <c r="E45" s="17"/>
      <c r="F45" s="17"/>
      <c r="G45" s="17"/>
      <c r="H45" s="17"/>
      <c r="I45" s="17"/>
      <c r="J45" s="17"/>
      <c r="K45" s="17"/>
      <c r="L45" s="17"/>
      <c r="M45" s="17"/>
      <c r="N45" s="17"/>
      <c r="O45" s="17"/>
    </row>
    <row r="46" spans="1:15" x14ac:dyDescent="0.2">
      <c r="A46" s="17"/>
      <c r="B46" s="17"/>
      <c r="C46" s="17"/>
      <c r="D46" s="17"/>
      <c r="E46" s="17"/>
      <c r="F46" s="17"/>
      <c r="G46" s="17"/>
      <c r="H46" s="17"/>
      <c r="I46" s="17"/>
      <c r="J46" s="17"/>
      <c r="K46" s="17"/>
      <c r="L46" s="17"/>
      <c r="M46" s="17"/>
      <c r="N46" s="17"/>
      <c r="O46" s="17"/>
    </row>
    <row r="47" spans="1:15" x14ac:dyDescent="0.2">
      <c r="A47" s="17"/>
      <c r="B47" s="17"/>
      <c r="C47" s="17"/>
      <c r="D47" s="17"/>
      <c r="E47" s="17"/>
      <c r="F47" s="17"/>
      <c r="G47" s="17"/>
      <c r="H47" s="17"/>
      <c r="I47" s="17"/>
      <c r="J47" s="17"/>
      <c r="K47" s="17"/>
      <c r="L47" s="17"/>
      <c r="M47" s="17"/>
      <c r="N47" s="17"/>
      <c r="O47" s="17"/>
    </row>
    <row r="48" spans="1:15" x14ac:dyDescent="0.2">
      <c r="A48" s="17"/>
      <c r="B48" s="17"/>
      <c r="C48" s="17"/>
      <c r="D48" s="17"/>
      <c r="E48" s="17"/>
      <c r="F48" s="17"/>
      <c r="G48" s="17"/>
      <c r="H48" s="17"/>
      <c r="I48" s="17"/>
      <c r="J48" s="17"/>
      <c r="K48" s="17"/>
      <c r="L48" s="17"/>
      <c r="M48" s="17"/>
      <c r="N48" s="17"/>
      <c r="O48" s="17"/>
    </row>
    <row r="49" s="17" customFormat="1" x14ac:dyDescent="0.2"/>
    <row r="50" s="17" customFormat="1" x14ac:dyDescent="0.2"/>
    <row r="51" s="17" customFormat="1" x14ac:dyDescent="0.2"/>
    <row r="52" s="17" customFormat="1" x14ac:dyDescent="0.2"/>
    <row r="53" s="17" customFormat="1" x14ac:dyDescent="0.2"/>
    <row r="54" s="17" customFormat="1" x14ac:dyDescent="0.2"/>
    <row r="55" s="17" customFormat="1" x14ac:dyDescent="0.2"/>
    <row r="56" s="17" customFormat="1" x14ac:dyDescent="0.2"/>
    <row r="57" s="17" customFormat="1" x14ac:dyDescent="0.2"/>
    <row r="58" s="17" customFormat="1" x14ac:dyDescent="0.2"/>
    <row r="59" s="17" customFormat="1" x14ac:dyDescent="0.2"/>
    <row r="60" s="17" customFormat="1" x14ac:dyDescent="0.2"/>
    <row r="61" s="17" customFormat="1" x14ac:dyDescent="0.2"/>
    <row r="62" s="17" customFormat="1" x14ac:dyDescent="0.2"/>
    <row r="63" s="17" customFormat="1" x14ac:dyDescent="0.2"/>
    <row r="64" s="17" customFormat="1" x14ac:dyDescent="0.2"/>
    <row r="65" s="17" customFormat="1" x14ac:dyDescent="0.2"/>
    <row r="66" s="17" customFormat="1" x14ac:dyDescent="0.2"/>
    <row r="67" s="17" customFormat="1" x14ac:dyDescent="0.2"/>
    <row r="68" s="17" customFormat="1" x14ac:dyDescent="0.2"/>
    <row r="69" s="17" customFormat="1" x14ac:dyDescent="0.2"/>
    <row r="70" s="17" customFormat="1" x14ac:dyDescent="0.2"/>
    <row r="71" s="17" customFormat="1" x14ac:dyDescent="0.2"/>
    <row r="72" s="17" customFormat="1" x14ac:dyDescent="0.2"/>
    <row r="73" s="17" customFormat="1" x14ac:dyDescent="0.2"/>
    <row r="74" s="17" customFormat="1" x14ac:dyDescent="0.2"/>
    <row r="75" s="17" customFormat="1" x14ac:dyDescent="0.2"/>
    <row r="76" s="17" customFormat="1" x14ac:dyDescent="0.2"/>
    <row r="77" s="17" customFormat="1" x14ac:dyDescent="0.2"/>
    <row r="78" s="17" customFormat="1" x14ac:dyDescent="0.2"/>
    <row r="79" s="17" customFormat="1" x14ac:dyDescent="0.2"/>
    <row r="80" s="17" customFormat="1" x14ac:dyDescent="0.2"/>
    <row r="81" s="17" customFormat="1" x14ac:dyDescent="0.2"/>
    <row r="82" s="17" customFormat="1" x14ac:dyDescent="0.2"/>
    <row r="83" s="17" customFormat="1" x14ac:dyDescent="0.2"/>
    <row r="84" s="17" customFormat="1" x14ac:dyDescent="0.2"/>
    <row r="85" s="17" customFormat="1" x14ac:dyDescent="0.2"/>
    <row r="86" s="17" customFormat="1" x14ac:dyDescent="0.2"/>
    <row r="87" s="17" customFormat="1" x14ac:dyDescent="0.2"/>
    <row r="88" s="17" customFormat="1" x14ac:dyDescent="0.2"/>
    <row r="89" s="17" customFormat="1" x14ac:dyDescent="0.2"/>
    <row r="90" s="17" customFormat="1" x14ac:dyDescent="0.2"/>
    <row r="91" s="17" customFormat="1" x14ac:dyDescent="0.2"/>
    <row r="92" s="17" customFormat="1" x14ac:dyDescent="0.2"/>
    <row r="93" s="17" customFormat="1" x14ac:dyDescent="0.2"/>
    <row r="94" s="17" customFormat="1" x14ac:dyDescent="0.2"/>
    <row r="95" s="17" customFormat="1" x14ac:dyDescent="0.2"/>
    <row r="96" s="17" customFormat="1" x14ac:dyDescent="0.2"/>
    <row r="97" s="17" customFormat="1" x14ac:dyDescent="0.2"/>
    <row r="98" s="17" customFormat="1" x14ac:dyDescent="0.2"/>
    <row r="99" s="17" customFormat="1" x14ac:dyDescent="0.2"/>
    <row r="100" s="17" customFormat="1" x14ac:dyDescent="0.2"/>
    <row r="101" s="17" customFormat="1" x14ac:dyDescent="0.2"/>
    <row r="102" s="17" customFormat="1" x14ac:dyDescent="0.2"/>
    <row r="103" s="17" customFormat="1" x14ac:dyDescent="0.2"/>
    <row r="104" s="17" customFormat="1" x14ac:dyDescent="0.2"/>
    <row r="105" s="17" customFormat="1" x14ac:dyDescent="0.2"/>
    <row r="106" s="17" customFormat="1" x14ac:dyDescent="0.2"/>
    <row r="107" s="17" customFormat="1" x14ac:dyDescent="0.2"/>
    <row r="108" s="17" customFormat="1" x14ac:dyDescent="0.2"/>
    <row r="109" s="17" customFormat="1" x14ac:dyDescent="0.2"/>
    <row r="110" s="17" customFormat="1" x14ac:dyDescent="0.2"/>
    <row r="111" s="17" customFormat="1" x14ac:dyDescent="0.2"/>
    <row r="112" s="17" customFormat="1" x14ac:dyDescent="0.2"/>
    <row r="113" s="17" customFormat="1" x14ac:dyDescent="0.2"/>
    <row r="114" s="17" customFormat="1" x14ac:dyDescent="0.2"/>
    <row r="115" s="17" customFormat="1" x14ac:dyDescent="0.2"/>
    <row r="116" s="17" customFormat="1" x14ac:dyDescent="0.2"/>
    <row r="117" s="17" customFormat="1" x14ac:dyDescent="0.2"/>
    <row r="118" s="17" customFormat="1" x14ac:dyDescent="0.2"/>
    <row r="119" s="17" customFormat="1" x14ac:dyDescent="0.2"/>
    <row r="120" s="17" customFormat="1" x14ac:dyDescent="0.2"/>
    <row r="121" s="17" customFormat="1" x14ac:dyDescent="0.2"/>
    <row r="122" s="17" customFormat="1" x14ac:dyDescent="0.2"/>
    <row r="123" s="17" customFormat="1" x14ac:dyDescent="0.2"/>
    <row r="124" s="17" customFormat="1" x14ac:dyDescent="0.2"/>
    <row r="125" s="17" customFormat="1" x14ac:dyDescent="0.2"/>
    <row r="126" s="17" customFormat="1" x14ac:dyDescent="0.2"/>
    <row r="127" s="17" customFormat="1" x14ac:dyDescent="0.2"/>
    <row r="128" s="17" customFormat="1" x14ac:dyDescent="0.2"/>
    <row r="129" s="17" customFormat="1" x14ac:dyDescent="0.2"/>
    <row r="130" s="17" customFormat="1" x14ac:dyDescent="0.2"/>
    <row r="131" s="17" customFormat="1" x14ac:dyDescent="0.2"/>
    <row r="132" s="17" customFormat="1" x14ac:dyDescent="0.2"/>
    <row r="133" s="17" customFormat="1" x14ac:dyDescent="0.2"/>
    <row r="134" s="17" customFormat="1" x14ac:dyDescent="0.2"/>
    <row r="135" s="17" customFormat="1" x14ac:dyDescent="0.2"/>
    <row r="136" s="17" customFormat="1" x14ac:dyDescent="0.2"/>
    <row r="137" s="17" customFormat="1" x14ac:dyDescent="0.2"/>
    <row r="138" s="17" customFormat="1" x14ac:dyDescent="0.2"/>
    <row r="139" s="17" customFormat="1" x14ac:dyDescent="0.2"/>
    <row r="140" s="17" customFormat="1" x14ac:dyDescent="0.2"/>
    <row r="141" s="17" customFormat="1" x14ac:dyDescent="0.2"/>
    <row r="142" s="17" customFormat="1" x14ac:dyDescent="0.2"/>
    <row r="143" s="17" customFormat="1" x14ac:dyDescent="0.2"/>
    <row r="144" s="17" customFormat="1" x14ac:dyDescent="0.2"/>
    <row r="145" s="17" customFormat="1" x14ac:dyDescent="0.2"/>
    <row r="146" s="17" customFormat="1" x14ac:dyDescent="0.2"/>
    <row r="147" s="17" customFormat="1" x14ac:dyDescent="0.2"/>
    <row r="148" s="17" customFormat="1" x14ac:dyDescent="0.2"/>
    <row r="149" s="17" customFormat="1" x14ac:dyDescent="0.2"/>
    <row r="150" s="17" customFormat="1" x14ac:dyDescent="0.2"/>
    <row r="151" s="17" customFormat="1" x14ac:dyDescent="0.2"/>
    <row r="152" s="17" customFormat="1" x14ac:dyDescent="0.2"/>
    <row r="153" s="17" customFormat="1" x14ac:dyDescent="0.2"/>
    <row r="154" s="17" customFormat="1" x14ac:dyDescent="0.2"/>
    <row r="155" s="17" customFormat="1" x14ac:dyDescent="0.2"/>
    <row r="156" s="17" customFormat="1" x14ac:dyDescent="0.2"/>
    <row r="157" s="17" customFormat="1" x14ac:dyDescent="0.2"/>
    <row r="158" s="17" customFormat="1" x14ac:dyDescent="0.2"/>
    <row r="159" s="17" customFormat="1" x14ac:dyDescent="0.2"/>
    <row r="160" s="17" customFormat="1" x14ac:dyDescent="0.2"/>
    <row r="161" s="17" customFormat="1" x14ac:dyDescent="0.2"/>
    <row r="162" s="17" customFormat="1" x14ac:dyDescent="0.2"/>
    <row r="163" s="17" customFormat="1" x14ac:dyDescent="0.2"/>
    <row r="164" s="17" customFormat="1" x14ac:dyDescent="0.2"/>
    <row r="165" s="17" customFormat="1" x14ac:dyDescent="0.2"/>
    <row r="166" s="17" customFormat="1" x14ac:dyDescent="0.2"/>
    <row r="167" s="17" customFormat="1" x14ac:dyDescent="0.2"/>
    <row r="168" s="17" customFormat="1" x14ac:dyDescent="0.2"/>
    <row r="169" s="17" customFormat="1" x14ac:dyDescent="0.2"/>
    <row r="170" s="17" customFormat="1" x14ac:dyDescent="0.2"/>
    <row r="171" s="17" customFormat="1" x14ac:dyDescent="0.2"/>
    <row r="172" s="17" customFormat="1" x14ac:dyDescent="0.2"/>
    <row r="173" s="17" customFormat="1" x14ac:dyDescent="0.2"/>
    <row r="174" s="17" customFormat="1" x14ac:dyDescent="0.2"/>
    <row r="175" s="17" customFormat="1" x14ac:dyDescent="0.2"/>
    <row r="176" s="17" customFormat="1" x14ac:dyDescent="0.2"/>
    <row r="177" s="17" customFormat="1" x14ac:dyDescent="0.2"/>
    <row r="178" s="17" customFormat="1" x14ac:dyDescent="0.2"/>
    <row r="179" s="17" customFormat="1" x14ac:dyDescent="0.2"/>
    <row r="180" s="17" customFormat="1" x14ac:dyDescent="0.2"/>
    <row r="181" s="17" customFormat="1" x14ac:dyDescent="0.2"/>
    <row r="182" s="17" customFormat="1" x14ac:dyDescent="0.2"/>
    <row r="183" s="17" customFormat="1" x14ac:dyDescent="0.2"/>
    <row r="184" s="17" customFormat="1" x14ac:dyDescent="0.2"/>
    <row r="185" s="17" customFormat="1" x14ac:dyDescent="0.2"/>
    <row r="186" s="17" customFormat="1" x14ac:dyDescent="0.2"/>
    <row r="187" s="17" customFormat="1" x14ac:dyDescent="0.2"/>
    <row r="188" s="17" customFormat="1" x14ac:dyDescent="0.2"/>
    <row r="189" s="17" customFormat="1" x14ac:dyDescent="0.2"/>
    <row r="190" s="17" customFormat="1" x14ac:dyDescent="0.2"/>
    <row r="191" s="17" customFormat="1" x14ac:dyDescent="0.2"/>
    <row r="192" s="17" customFormat="1" x14ac:dyDescent="0.2"/>
    <row r="193" s="17" customFormat="1" x14ac:dyDescent="0.2"/>
    <row r="194" s="17" customFormat="1" x14ac:dyDescent="0.2"/>
    <row r="195" s="17" customFormat="1" x14ac:dyDescent="0.2"/>
    <row r="196" s="17" customFormat="1" x14ac:dyDescent="0.2"/>
    <row r="197" s="17" customFormat="1" x14ac:dyDescent="0.2"/>
    <row r="198" s="17" customFormat="1" x14ac:dyDescent="0.2"/>
    <row r="199" s="17" customFormat="1" x14ac:dyDescent="0.2"/>
    <row r="200" s="17" customFormat="1" x14ac:dyDescent="0.2"/>
    <row r="201" s="17" customFormat="1" x14ac:dyDescent="0.2"/>
    <row r="202" s="17" customFormat="1" x14ac:dyDescent="0.2"/>
    <row r="203" s="17" customFormat="1" x14ac:dyDescent="0.2"/>
    <row r="204" s="17" customFormat="1" x14ac:dyDescent="0.2"/>
    <row r="205" s="17" customFormat="1" x14ac:dyDescent="0.2"/>
    <row r="206" s="17" customFormat="1" x14ac:dyDescent="0.2"/>
    <row r="207" s="17" customFormat="1" x14ac:dyDescent="0.2"/>
    <row r="208" s="17" customFormat="1" x14ac:dyDescent="0.2"/>
    <row r="209" s="17" customFormat="1" x14ac:dyDescent="0.2"/>
    <row r="210" s="17" customFormat="1" x14ac:dyDescent="0.2"/>
    <row r="211" s="17" customFormat="1" x14ac:dyDescent="0.2"/>
    <row r="212" s="17" customFormat="1" x14ac:dyDescent="0.2"/>
    <row r="213" s="17" customFormat="1" x14ac:dyDescent="0.2"/>
    <row r="214" s="17" customFormat="1" x14ac:dyDescent="0.2"/>
    <row r="215" s="17" customFormat="1" x14ac:dyDescent="0.2"/>
    <row r="216" s="17" customFormat="1" x14ac:dyDescent="0.2"/>
    <row r="217" s="17" customFormat="1" x14ac:dyDescent="0.2"/>
    <row r="218" s="17" customFormat="1" x14ac:dyDescent="0.2"/>
    <row r="219" s="17" customFormat="1" x14ac:dyDescent="0.2"/>
    <row r="220" s="17" customFormat="1" x14ac:dyDescent="0.2"/>
    <row r="221" s="17" customFormat="1" x14ac:dyDescent="0.2"/>
    <row r="222" s="17" customFormat="1" x14ac:dyDescent="0.2"/>
    <row r="223" s="17" customFormat="1" x14ac:dyDescent="0.2"/>
    <row r="224" s="17" customFormat="1" x14ac:dyDescent="0.2"/>
    <row r="225" s="17" customFormat="1" x14ac:dyDescent="0.2"/>
    <row r="226" s="17" customFormat="1" x14ac:dyDescent="0.2"/>
    <row r="227" s="17" customFormat="1" x14ac:dyDescent="0.2"/>
    <row r="228" s="17" customFormat="1" x14ac:dyDescent="0.2"/>
    <row r="229" s="17" customFormat="1" x14ac:dyDescent="0.2"/>
    <row r="230" s="17" customFormat="1" x14ac:dyDescent="0.2"/>
    <row r="231" s="17" customFormat="1" x14ac:dyDescent="0.2"/>
    <row r="232" s="17" customFormat="1" x14ac:dyDescent="0.2"/>
    <row r="233" s="17" customFormat="1" x14ac:dyDescent="0.2"/>
    <row r="234" s="17" customFormat="1" x14ac:dyDescent="0.2"/>
    <row r="235" s="17" customFormat="1" x14ac:dyDescent="0.2"/>
    <row r="236" s="17" customFormat="1" x14ac:dyDescent="0.2"/>
    <row r="237" s="17" customFormat="1" x14ac:dyDescent="0.2"/>
    <row r="238" s="17" customFormat="1" x14ac:dyDescent="0.2"/>
    <row r="239" s="17" customFormat="1" x14ac:dyDescent="0.2"/>
    <row r="240" s="17" customFormat="1" x14ac:dyDescent="0.2"/>
    <row r="241" s="17" customFormat="1" x14ac:dyDescent="0.2"/>
    <row r="242" s="17" customFormat="1" x14ac:dyDescent="0.2"/>
    <row r="243" s="17" customFormat="1" x14ac:dyDescent="0.2"/>
    <row r="244" s="17" customFormat="1" x14ac:dyDescent="0.2"/>
    <row r="245" s="17" customFormat="1" x14ac:dyDescent="0.2"/>
    <row r="246" s="17" customFormat="1" x14ac:dyDescent="0.2"/>
    <row r="247" s="17" customFormat="1" x14ac:dyDescent="0.2"/>
    <row r="248" s="17" customFormat="1" x14ac:dyDescent="0.2"/>
    <row r="249" s="17" customFormat="1" x14ac:dyDescent="0.2"/>
    <row r="250" s="17" customFormat="1" x14ac:dyDescent="0.2"/>
    <row r="251" s="17" customFormat="1" x14ac:dyDescent="0.2"/>
    <row r="252" s="17" customFormat="1" x14ac:dyDescent="0.2"/>
    <row r="253" s="17" customFormat="1" x14ac:dyDescent="0.2"/>
    <row r="254" s="17" customFormat="1" x14ac:dyDescent="0.2"/>
    <row r="255" s="17" customFormat="1" x14ac:dyDescent="0.2"/>
    <row r="256" s="17" customFormat="1" x14ac:dyDescent="0.2"/>
    <row r="257" s="17" customFormat="1" x14ac:dyDescent="0.2"/>
    <row r="258" s="17" customFormat="1" x14ac:dyDescent="0.2"/>
    <row r="259" s="17" customFormat="1" x14ac:dyDescent="0.2"/>
    <row r="260" s="17" customFormat="1" x14ac:dyDescent="0.2"/>
    <row r="261" s="17" customFormat="1" x14ac:dyDescent="0.2"/>
    <row r="262" s="17" customFormat="1" x14ac:dyDescent="0.2"/>
    <row r="263" s="17" customFormat="1" x14ac:dyDescent="0.2"/>
    <row r="264" s="17" customFormat="1" x14ac:dyDescent="0.2"/>
    <row r="265" s="17" customFormat="1" x14ac:dyDescent="0.2"/>
    <row r="266" s="17" customFormat="1" x14ac:dyDescent="0.2"/>
    <row r="267" s="17" customFormat="1" x14ac:dyDescent="0.2"/>
    <row r="268" s="17" customFormat="1" x14ac:dyDescent="0.2"/>
    <row r="269" s="17" customFormat="1" x14ac:dyDescent="0.2"/>
    <row r="270" s="17" customFormat="1" x14ac:dyDescent="0.2"/>
    <row r="271" s="17" customFormat="1" x14ac:dyDescent="0.2"/>
    <row r="272" s="17" customFormat="1" x14ac:dyDescent="0.2"/>
    <row r="273" s="17" customFormat="1" x14ac:dyDescent="0.2"/>
    <row r="274" s="17" customFormat="1" x14ac:dyDescent="0.2"/>
    <row r="275" s="17" customFormat="1" x14ac:dyDescent="0.2"/>
    <row r="276" s="17" customFormat="1" x14ac:dyDescent="0.2"/>
    <row r="277" s="17" customFormat="1" x14ac:dyDescent="0.2"/>
    <row r="278" s="17" customFormat="1" x14ac:dyDescent="0.2"/>
    <row r="279" s="17" customFormat="1" x14ac:dyDescent="0.2"/>
    <row r="280" s="17" customFormat="1" x14ac:dyDescent="0.2"/>
    <row r="281" s="17" customFormat="1" x14ac:dyDescent="0.2"/>
    <row r="282" s="17" customFormat="1" x14ac:dyDescent="0.2"/>
    <row r="283" s="17" customFormat="1" x14ac:dyDescent="0.2"/>
    <row r="284" s="17" customFormat="1" x14ac:dyDescent="0.2"/>
    <row r="285" s="17" customFormat="1" x14ac:dyDescent="0.2"/>
    <row r="286" s="17" customFormat="1" x14ac:dyDescent="0.2"/>
    <row r="287" s="17" customFormat="1" x14ac:dyDescent="0.2"/>
    <row r="288" s="17" customFormat="1" x14ac:dyDescent="0.2"/>
    <row r="289" s="17" customFormat="1" x14ac:dyDescent="0.2"/>
    <row r="290" s="17" customFormat="1" x14ac:dyDescent="0.2"/>
    <row r="291" s="17" customFormat="1" x14ac:dyDescent="0.2"/>
    <row r="292" s="17" customFormat="1" x14ac:dyDescent="0.2"/>
    <row r="293" s="17" customFormat="1" x14ac:dyDescent="0.2"/>
    <row r="294" s="17" customFormat="1" x14ac:dyDescent="0.2"/>
    <row r="295" s="17" customFormat="1" x14ac:dyDescent="0.2"/>
    <row r="296" s="17" customFormat="1" x14ac:dyDescent="0.2"/>
    <row r="297" s="17" customFormat="1" x14ac:dyDescent="0.2"/>
    <row r="298" s="17" customFormat="1" x14ac:dyDescent="0.2"/>
    <row r="299" s="17" customFormat="1" x14ac:dyDescent="0.2"/>
    <row r="300" s="17" customFormat="1" x14ac:dyDescent="0.2"/>
    <row r="301" s="17" customFormat="1" x14ac:dyDescent="0.2"/>
    <row r="302" s="17" customFormat="1" x14ac:dyDescent="0.2"/>
    <row r="303" s="17" customFormat="1" x14ac:dyDescent="0.2"/>
    <row r="304" s="17" customFormat="1" x14ac:dyDescent="0.2"/>
    <row r="305" s="17" customFormat="1" x14ac:dyDescent="0.2"/>
    <row r="306" s="17" customFormat="1" x14ac:dyDescent="0.2"/>
    <row r="307" s="17" customFormat="1" x14ac:dyDescent="0.2"/>
    <row r="308" s="17" customFormat="1" x14ac:dyDescent="0.2"/>
    <row r="309" s="17" customFormat="1" x14ac:dyDescent="0.2"/>
    <row r="310" s="17" customFormat="1" x14ac:dyDescent="0.2"/>
    <row r="311" s="17" customFormat="1" x14ac:dyDescent="0.2"/>
    <row r="312" s="17" customFormat="1" x14ac:dyDescent="0.2"/>
    <row r="313" s="17" customFormat="1" x14ac:dyDescent="0.2"/>
    <row r="314" s="17" customFormat="1" x14ac:dyDescent="0.2"/>
    <row r="315" s="17" customFormat="1" x14ac:dyDescent="0.2"/>
    <row r="316" s="17" customFormat="1" x14ac:dyDescent="0.2"/>
    <row r="317" s="17" customFormat="1" x14ac:dyDescent="0.2"/>
    <row r="318" s="17" customFormat="1" x14ac:dyDescent="0.2"/>
    <row r="319" s="17" customFormat="1" x14ac:dyDescent="0.2"/>
    <row r="320" s="17" customFormat="1" x14ac:dyDescent="0.2"/>
    <row r="321" s="17" customFormat="1" x14ac:dyDescent="0.2"/>
    <row r="322" s="17" customFormat="1" x14ac:dyDescent="0.2"/>
    <row r="323" s="17" customFormat="1" x14ac:dyDescent="0.2"/>
    <row r="324" s="17" customFormat="1" x14ac:dyDescent="0.2"/>
    <row r="325" s="17" customFormat="1" x14ac:dyDescent="0.2"/>
    <row r="326" s="17" customFormat="1" x14ac:dyDescent="0.2"/>
    <row r="327" s="17" customFormat="1" x14ac:dyDescent="0.2"/>
    <row r="328" s="17" customFormat="1" x14ac:dyDescent="0.2"/>
    <row r="329" s="17" customFormat="1" x14ac:dyDescent="0.2"/>
    <row r="330" s="17" customFormat="1" x14ac:dyDescent="0.2"/>
    <row r="331" s="17" customFormat="1" x14ac:dyDescent="0.2"/>
    <row r="332" s="17" customFormat="1" x14ac:dyDescent="0.2"/>
    <row r="333" s="17" customFormat="1" x14ac:dyDescent="0.2"/>
    <row r="334" s="17" customFormat="1" x14ac:dyDescent="0.2"/>
    <row r="335" s="17" customFormat="1" x14ac:dyDescent="0.2"/>
    <row r="336" s="17" customFormat="1" x14ac:dyDescent="0.2"/>
    <row r="337" s="17" customFormat="1" x14ac:dyDescent="0.2"/>
    <row r="338" s="17" customFormat="1" x14ac:dyDescent="0.2"/>
    <row r="339" s="17" customFormat="1" x14ac:dyDescent="0.2"/>
    <row r="340" s="17" customFormat="1" x14ac:dyDescent="0.2"/>
    <row r="341" s="17" customFormat="1" x14ac:dyDescent="0.2"/>
    <row r="342" s="17" customFormat="1" x14ac:dyDescent="0.2"/>
    <row r="343" s="17" customFormat="1" x14ac:dyDescent="0.2"/>
    <row r="344" s="17" customFormat="1" x14ac:dyDescent="0.2"/>
    <row r="345" s="17" customFormat="1" x14ac:dyDescent="0.2"/>
    <row r="346" s="17" customFormat="1" x14ac:dyDescent="0.2"/>
    <row r="347" s="17" customFormat="1" x14ac:dyDescent="0.2"/>
    <row r="348" s="17" customFormat="1" x14ac:dyDescent="0.2"/>
    <row r="349" s="17" customFormat="1" x14ac:dyDescent="0.2"/>
    <row r="350" s="17" customFormat="1" x14ac:dyDescent="0.2"/>
    <row r="351" s="17" customFormat="1" x14ac:dyDescent="0.2"/>
    <row r="352" s="17" customFormat="1" x14ac:dyDescent="0.2"/>
    <row r="353" s="17" customFormat="1" x14ac:dyDescent="0.2"/>
    <row r="354" s="17" customFormat="1" x14ac:dyDescent="0.2"/>
    <row r="355" s="17" customFormat="1" x14ac:dyDescent="0.2"/>
    <row r="356" s="17" customFormat="1" x14ac:dyDescent="0.2"/>
    <row r="357" s="17" customFormat="1" x14ac:dyDescent="0.2"/>
    <row r="358" s="17" customFormat="1" x14ac:dyDescent="0.2"/>
    <row r="359" s="17" customFormat="1" x14ac:dyDescent="0.2"/>
    <row r="360" s="17" customFormat="1" x14ac:dyDescent="0.2"/>
    <row r="361" s="17" customFormat="1" x14ac:dyDescent="0.2"/>
    <row r="362" s="17" customFormat="1" x14ac:dyDescent="0.2"/>
    <row r="363" s="17" customFormat="1" x14ac:dyDescent="0.2"/>
    <row r="364" s="17" customFormat="1" x14ac:dyDescent="0.2"/>
    <row r="365" s="17" customFormat="1" x14ac:dyDescent="0.2"/>
    <row r="366" s="17" customFormat="1" x14ac:dyDescent="0.2"/>
    <row r="367" s="17" customFormat="1" x14ac:dyDescent="0.2"/>
    <row r="368" s="17" customFormat="1" x14ac:dyDescent="0.2"/>
    <row r="369" s="17" customFormat="1" x14ac:dyDescent="0.2"/>
    <row r="370" s="17" customFormat="1" x14ac:dyDescent="0.2"/>
    <row r="371" s="17" customFormat="1" x14ac:dyDescent="0.2"/>
    <row r="372" s="17" customFormat="1" x14ac:dyDescent="0.2"/>
    <row r="373" s="17" customFormat="1" x14ac:dyDescent="0.2"/>
    <row r="374" s="17" customFormat="1" x14ac:dyDescent="0.2"/>
    <row r="375" s="17" customFormat="1" x14ac:dyDescent="0.2"/>
    <row r="376" s="17" customFormat="1" x14ac:dyDescent="0.2"/>
    <row r="377" s="17" customFormat="1" x14ac:dyDescent="0.2"/>
    <row r="378" s="17" customFormat="1" x14ac:dyDescent="0.2"/>
    <row r="379" s="17" customFormat="1" x14ac:dyDescent="0.2"/>
    <row r="380" s="17" customFormat="1" x14ac:dyDescent="0.2"/>
    <row r="381" s="17" customFormat="1" x14ac:dyDescent="0.2"/>
    <row r="382" s="17" customFormat="1" x14ac:dyDescent="0.2"/>
    <row r="383" s="17" customFormat="1" x14ac:dyDescent="0.2"/>
    <row r="384" s="17" customFormat="1" x14ac:dyDescent="0.2"/>
    <row r="385" s="17" customFormat="1" x14ac:dyDescent="0.2"/>
    <row r="386" s="17" customFormat="1" x14ac:dyDescent="0.2"/>
    <row r="387" s="17" customFormat="1" x14ac:dyDescent="0.2"/>
    <row r="388" s="17" customFormat="1" x14ac:dyDescent="0.2"/>
    <row r="389" s="17" customFormat="1" x14ac:dyDescent="0.2"/>
    <row r="390" s="17" customFormat="1" x14ac:dyDescent="0.2"/>
    <row r="391" s="17" customFormat="1" x14ac:dyDescent="0.2"/>
    <row r="392" s="17" customFormat="1" x14ac:dyDescent="0.2"/>
    <row r="393" s="17" customFormat="1" x14ac:dyDescent="0.2"/>
    <row r="394" s="17" customFormat="1" x14ac:dyDescent="0.2"/>
    <row r="395" s="17" customFormat="1" x14ac:dyDescent="0.2"/>
    <row r="396" s="17" customFormat="1" x14ac:dyDescent="0.2"/>
    <row r="397" s="17" customFormat="1" x14ac:dyDescent="0.2"/>
    <row r="398" s="17" customFormat="1" x14ac:dyDescent="0.2"/>
    <row r="399" s="17" customFormat="1" x14ac:dyDescent="0.2"/>
    <row r="400" s="17" customFormat="1" x14ac:dyDescent="0.2"/>
    <row r="401" s="17" customFormat="1" x14ac:dyDescent="0.2"/>
    <row r="402" s="17" customFormat="1" x14ac:dyDescent="0.2"/>
    <row r="403" s="17" customFormat="1" x14ac:dyDescent="0.2"/>
    <row r="404" s="17" customFormat="1" x14ac:dyDescent="0.2"/>
    <row r="405" s="17" customFormat="1" x14ac:dyDescent="0.2"/>
    <row r="406" s="17" customFormat="1" x14ac:dyDescent="0.2"/>
    <row r="407" s="17" customFormat="1" x14ac:dyDescent="0.2"/>
    <row r="408" s="17" customFormat="1" x14ac:dyDescent="0.2"/>
    <row r="409" s="17" customFormat="1" x14ac:dyDescent="0.2"/>
    <row r="410" s="17" customFormat="1" x14ac:dyDescent="0.2"/>
    <row r="411" s="17" customFormat="1" x14ac:dyDescent="0.2"/>
    <row r="412" s="17" customFormat="1" x14ac:dyDescent="0.2"/>
    <row r="413" s="17" customFormat="1" x14ac:dyDescent="0.2"/>
    <row r="414" s="17" customFormat="1" x14ac:dyDescent="0.2"/>
    <row r="415" s="17" customFormat="1" x14ac:dyDescent="0.2"/>
    <row r="416" s="17" customFormat="1" x14ac:dyDescent="0.2"/>
    <row r="417" s="17" customFormat="1" x14ac:dyDescent="0.2"/>
    <row r="418" s="17" customFormat="1" x14ac:dyDescent="0.2"/>
    <row r="419" s="17" customFormat="1" x14ac:dyDescent="0.2"/>
    <row r="420" s="17" customFormat="1" x14ac:dyDescent="0.2"/>
    <row r="421" s="17" customFormat="1" x14ac:dyDescent="0.2"/>
    <row r="422" s="17" customFormat="1" x14ac:dyDescent="0.2"/>
    <row r="423" s="17" customFormat="1" x14ac:dyDescent="0.2"/>
    <row r="424" s="17" customFormat="1" x14ac:dyDescent="0.2"/>
    <row r="425" s="17" customFormat="1" x14ac:dyDescent="0.2"/>
    <row r="426" s="17" customFormat="1" x14ac:dyDescent="0.2"/>
    <row r="427" s="17" customFormat="1" x14ac:dyDescent="0.2"/>
    <row r="428" s="17" customFormat="1" x14ac:dyDescent="0.2"/>
    <row r="429" s="17" customFormat="1" x14ac:dyDescent="0.2"/>
    <row r="430" s="17" customFormat="1" x14ac:dyDescent="0.2"/>
    <row r="431" s="17" customFormat="1" x14ac:dyDescent="0.2"/>
    <row r="432" s="17" customFormat="1" x14ac:dyDescent="0.2"/>
    <row r="433" s="17" customFormat="1" x14ac:dyDescent="0.2"/>
    <row r="434" s="17" customFormat="1" x14ac:dyDescent="0.2"/>
    <row r="435" s="17" customFormat="1" x14ac:dyDescent="0.2"/>
    <row r="436" s="17" customFormat="1" x14ac:dyDescent="0.2"/>
    <row r="437" s="17" customFormat="1" x14ac:dyDescent="0.2"/>
    <row r="438" s="17" customFormat="1" x14ac:dyDescent="0.2"/>
    <row r="439" s="17" customFormat="1" x14ac:dyDescent="0.2"/>
    <row r="440" s="17" customFormat="1" x14ac:dyDescent="0.2"/>
    <row r="441" s="17" customFormat="1" x14ac:dyDescent="0.2"/>
    <row r="442" s="17" customFormat="1" x14ac:dyDescent="0.2"/>
    <row r="443" s="17" customFormat="1" x14ac:dyDescent="0.2"/>
    <row r="444" s="17" customFormat="1" x14ac:dyDescent="0.2"/>
    <row r="445" s="17" customFormat="1" x14ac:dyDescent="0.2"/>
    <row r="446" s="17" customFormat="1" x14ac:dyDescent="0.2"/>
    <row r="447" s="17" customFormat="1" x14ac:dyDescent="0.2"/>
    <row r="448" s="17" customFormat="1" x14ac:dyDescent="0.2"/>
    <row r="449" s="17" customFormat="1" x14ac:dyDescent="0.2"/>
    <row r="450" s="17" customFormat="1" x14ac:dyDescent="0.2"/>
    <row r="451" s="17" customFormat="1" x14ac:dyDescent="0.2"/>
    <row r="452" s="17" customFormat="1" x14ac:dyDescent="0.2"/>
    <row r="453" s="17" customFormat="1" x14ac:dyDescent="0.2"/>
    <row r="454" s="17" customFormat="1" x14ac:dyDescent="0.2"/>
    <row r="455" s="17" customFormat="1" x14ac:dyDescent="0.2"/>
    <row r="456" s="17" customFormat="1" x14ac:dyDescent="0.2"/>
    <row r="457" s="17" customFormat="1" x14ac:dyDescent="0.2"/>
    <row r="458" s="17" customFormat="1" x14ac:dyDescent="0.2"/>
    <row r="459" s="17" customFormat="1" x14ac:dyDescent="0.2"/>
    <row r="460" s="17" customFormat="1" x14ac:dyDescent="0.2"/>
    <row r="461" s="17" customFormat="1" x14ac:dyDescent="0.2"/>
    <row r="462" s="17" customFormat="1" x14ac:dyDescent="0.2"/>
    <row r="463" s="17" customFormat="1" x14ac:dyDescent="0.2"/>
    <row r="464" s="17" customFormat="1" x14ac:dyDescent="0.2"/>
    <row r="465" s="17" customFormat="1" x14ac:dyDescent="0.2"/>
    <row r="466" s="17" customFormat="1" x14ac:dyDescent="0.2"/>
    <row r="467" s="17" customFormat="1" x14ac:dyDescent="0.2"/>
    <row r="468" s="17" customFormat="1" x14ac:dyDescent="0.2"/>
    <row r="469" s="17" customFormat="1" x14ac:dyDescent="0.2"/>
    <row r="470" s="17" customFormat="1" x14ac:dyDescent="0.2"/>
    <row r="471" s="17" customFormat="1" x14ac:dyDescent="0.2"/>
    <row r="472" s="17" customFormat="1" x14ac:dyDescent="0.2"/>
    <row r="473" s="17" customFormat="1" x14ac:dyDescent="0.2"/>
    <row r="474" s="17" customFormat="1" x14ac:dyDescent="0.2"/>
    <row r="475" s="17" customFormat="1" x14ac:dyDescent="0.2"/>
    <row r="476" s="17" customFormat="1" x14ac:dyDescent="0.2"/>
    <row r="477" s="17" customFormat="1" x14ac:dyDescent="0.2"/>
    <row r="478" s="17" customFormat="1" x14ac:dyDescent="0.2"/>
    <row r="479" s="17" customFormat="1" x14ac:dyDescent="0.2"/>
    <row r="480" s="17" customFormat="1" x14ac:dyDescent="0.2"/>
    <row r="481" s="17" customFormat="1" x14ac:dyDescent="0.2"/>
    <row r="482" s="17" customFormat="1" x14ac:dyDescent="0.2"/>
    <row r="483" s="17" customFormat="1" x14ac:dyDescent="0.2"/>
    <row r="484" s="17" customFormat="1" x14ac:dyDescent="0.2"/>
    <row r="485" s="17" customFormat="1" x14ac:dyDescent="0.2"/>
    <row r="486" s="17" customFormat="1" x14ac:dyDescent="0.2"/>
    <row r="487" s="17" customFormat="1" x14ac:dyDescent="0.2"/>
    <row r="488" s="17" customFormat="1" x14ac:dyDescent="0.2"/>
    <row r="489" s="17" customFormat="1" x14ac:dyDescent="0.2"/>
    <row r="490" s="17" customFormat="1" x14ac:dyDescent="0.2"/>
    <row r="491" s="17" customFormat="1" x14ac:dyDescent="0.2"/>
    <row r="492" s="17" customFormat="1" x14ac:dyDescent="0.2"/>
    <row r="493" s="17" customFormat="1" x14ac:dyDescent="0.2"/>
    <row r="494" s="17" customFormat="1" x14ac:dyDescent="0.2"/>
    <row r="495" s="17" customFormat="1" x14ac:dyDescent="0.2"/>
    <row r="496" s="17" customFormat="1" x14ac:dyDescent="0.2"/>
    <row r="497" s="17" customFormat="1" x14ac:dyDescent="0.2"/>
    <row r="498" s="17" customFormat="1" x14ac:dyDescent="0.2"/>
    <row r="499" s="17" customFormat="1" x14ac:dyDescent="0.2"/>
    <row r="500" s="17" customFormat="1" x14ac:dyDescent="0.2"/>
    <row r="501" s="17" customFormat="1" x14ac:dyDescent="0.2"/>
    <row r="502" s="17" customFormat="1" x14ac:dyDescent="0.2"/>
    <row r="503" s="17" customFormat="1" x14ac:dyDescent="0.2"/>
    <row r="504" s="17" customFormat="1" x14ac:dyDescent="0.2"/>
    <row r="505" s="17" customFormat="1" x14ac:dyDescent="0.2"/>
    <row r="506" s="17" customFormat="1" x14ac:dyDescent="0.2"/>
    <row r="507" s="17" customFormat="1" x14ac:dyDescent="0.2"/>
    <row r="508" s="17" customFormat="1" x14ac:dyDescent="0.2"/>
    <row r="509" s="17" customFormat="1" x14ac:dyDescent="0.2"/>
    <row r="510" s="17" customFormat="1" x14ac:dyDescent="0.2"/>
    <row r="511" s="17" customFormat="1" x14ac:dyDescent="0.2"/>
    <row r="512" s="17" customFormat="1" x14ac:dyDescent="0.2"/>
    <row r="513" s="17" customFormat="1" x14ac:dyDescent="0.2"/>
    <row r="514" s="17" customFormat="1" x14ac:dyDescent="0.2"/>
    <row r="515" s="17" customFormat="1" x14ac:dyDescent="0.2"/>
    <row r="516" s="17" customFormat="1" x14ac:dyDescent="0.2"/>
    <row r="517" s="17" customFormat="1" x14ac:dyDescent="0.2"/>
    <row r="518" s="17" customFormat="1" x14ac:dyDescent="0.2"/>
    <row r="519" s="17" customFormat="1" x14ac:dyDescent="0.2"/>
    <row r="520" s="17" customFormat="1" x14ac:dyDescent="0.2"/>
    <row r="521" s="17" customFormat="1" x14ac:dyDescent="0.2"/>
    <row r="522" s="17" customFormat="1" x14ac:dyDescent="0.2"/>
    <row r="523" s="17" customFormat="1" x14ac:dyDescent="0.2"/>
    <row r="524" s="17" customFormat="1" x14ac:dyDescent="0.2"/>
  </sheetData>
  <mergeCells count="9">
    <mergeCell ref="A2:O2"/>
    <mergeCell ref="N4:O4"/>
    <mergeCell ref="A4:A5"/>
    <mergeCell ref="L4:M4"/>
    <mergeCell ref="J4:K4"/>
    <mergeCell ref="H4:I4"/>
    <mergeCell ref="F4:G4"/>
    <mergeCell ref="D4:E4"/>
    <mergeCell ref="B4:C4"/>
  </mergeCells>
  <pageMargins left="0.7" right="0.7" top="0.75" bottom="0.75" header="0.3" footer="0.3"/>
  <pageSetup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rden xmlns="7f46df1b-c851-4487-9672-e2321d678dfc">27</Orden>
    <Descripci_x00f3_n xmlns="7f46df1b-c851-4487-9672-e2321d678dfc" xsi:nil="true"/>
    <Formato xmlns="7f46df1b-c851-4487-9672-e2321d678dfc">/Style%20Library/Images/xls.svg</Formato>
    <Filtro xmlns="7f46df1b-c851-4487-9672-e2321d678dfc">ESTADOS</Filtr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975F756529D5344999D0D802AAD6C9A" ma:contentTypeVersion="4" ma:contentTypeDescription="Create a new document." ma:contentTypeScope="" ma:versionID="8f03135a01bd664b498b4a4fd92d05b8">
  <xsd:schema xmlns:xsd="http://www.w3.org/2001/XMLSchema" xmlns:xs="http://www.w3.org/2001/XMLSchema" xmlns:p="http://schemas.microsoft.com/office/2006/metadata/properties" xmlns:ns2="7f46df1b-c851-4487-9672-e2321d678dfc" targetNamespace="http://schemas.microsoft.com/office/2006/metadata/properties" ma:root="true" ma:fieldsID="a750a806a39346e7691f794016f4f7ab" ns2:_="">
    <xsd:import namespace="7f46df1b-c851-4487-9672-e2321d678dfc"/>
    <xsd:element name="properties">
      <xsd:complexType>
        <xsd:sequence>
          <xsd:element name="documentManagement">
            <xsd:complexType>
              <xsd:all>
                <xsd:element ref="ns2:Descripci_x00f3_n" minOccurs="0"/>
                <xsd:element ref="ns2:Filtro"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46df1b-c851-4487-9672-e2321d678dfc"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Filtro" ma:index="9" nillable="true" ma:displayName="Filtro" ma:internalName="Filtr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1" nillable="true" ma:displayName="Orden" ma:internalName="Ord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3A976D-BA03-47A4-9973-54F62F82BC96}">
  <ds:schemaRefs>
    <ds:schemaRef ds:uri="http://schemas.microsoft.com/office/2006/metadata/properties"/>
    <ds:schemaRef ds:uri="http://schemas.microsoft.com/office/infopath/2007/PartnerControls"/>
    <ds:schemaRef ds:uri="7f46df1b-c851-4487-9672-e2321d678dfc"/>
  </ds:schemaRefs>
</ds:datastoreItem>
</file>

<file path=customXml/itemProps2.xml><?xml version="1.0" encoding="utf-8"?>
<ds:datastoreItem xmlns:ds="http://schemas.openxmlformats.org/officeDocument/2006/customXml" ds:itemID="{73FE5900-0443-423D-AD93-3A3122548822}">
  <ds:schemaRefs>
    <ds:schemaRef ds:uri="http://schemas.microsoft.com/sharepoint/v3/contenttype/forms"/>
  </ds:schemaRefs>
</ds:datastoreItem>
</file>

<file path=customXml/itemProps3.xml><?xml version="1.0" encoding="utf-8"?>
<ds:datastoreItem xmlns:ds="http://schemas.openxmlformats.org/officeDocument/2006/customXml" ds:itemID="{E37E35D6-78CD-446F-81B4-FA6FD23D5C54}">
  <ds:schemaRefs>
    <ds:schemaRef ds:uri="http://schemas.microsoft.com/office/2006/metadata/longProperties"/>
  </ds:schemaRefs>
</ds:datastoreItem>
</file>

<file path=customXml/itemProps4.xml><?xml version="1.0" encoding="utf-8"?>
<ds:datastoreItem xmlns:ds="http://schemas.openxmlformats.org/officeDocument/2006/customXml" ds:itemID="{963A46C8-CAE3-4871-B936-E2CFB85DE2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12</vt:i4>
      </vt:variant>
    </vt:vector>
  </HeadingPairs>
  <TitlesOfParts>
    <vt:vector size="23" baseType="lpstr">
      <vt:lpstr>INDICE</vt:lpstr>
      <vt:lpstr>1</vt:lpstr>
      <vt:lpstr>2</vt:lpstr>
      <vt:lpstr>3</vt:lpstr>
      <vt:lpstr>INDICE EE.FF.</vt:lpstr>
      <vt:lpstr>4</vt:lpstr>
      <vt:lpstr>5</vt:lpstr>
      <vt:lpstr>6</vt:lpstr>
      <vt:lpstr>7</vt:lpstr>
      <vt:lpstr>8</vt:lpstr>
      <vt:lpstr>9</vt:lpstr>
      <vt:lpstr>'2'!Área_de_impresión</vt:lpstr>
      <vt:lpstr>'3'!Área_de_impresión</vt:lpstr>
      <vt:lpstr>'4'!Área_de_impresión</vt:lpstr>
      <vt:lpstr>'5'!Área_de_impresión</vt:lpstr>
      <vt:lpstr>'8'!Área_de_impresión</vt:lpstr>
      <vt:lpstr>'1'!Títulos_a_imprimir</vt:lpstr>
      <vt:lpstr>'2'!Títulos_a_imprimir</vt:lpstr>
      <vt:lpstr>'3'!Títulos_a_imprimir</vt:lpstr>
      <vt:lpstr>'4'!Títulos_a_imprimir</vt:lpstr>
      <vt:lpstr>'5'!Títulos_a_imprimir</vt:lpstr>
      <vt:lpstr>'8'!Títulos_a_imprimir</vt:lpstr>
      <vt:lpstr>'9'!Títulos_a_imprimir</vt:lpstr>
    </vt:vector>
  </TitlesOfParts>
  <Manager/>
  <Company>PC Familiar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Estados Financieros Transporte Aéreo 30 Junio 2023</dc:title>
  <dc:subject/>
  <dc:creator>PC Familiar</dc:creator>
  <cp:keywords/>
  <dc:description/>
  <cp:lastModifiedBy>Juan David Dominguez Arrieta</cp:lastModifiedBy>
  <cp:revision/>
  <dcterms:created xsi:type="dcterms:W3CDTF">2000-07-06T11:08:14Z</dcterms:created>
  <dcterms:modified xsi:type="dcterms:W3CDTF">2023-09-29T15:27:34Z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0x0101009975F756529D5344999D0D802AAD6C9A</vt:lpwstr>
  </property>
</Properties>
</file>